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PLANOVI\PLANOVI 2023 - 2025\Izvršenje 31 12 2023\"/>
    </mc:Choice>
  </mc:AlternateContent>
  <xr:revisionPtr revIDLastSave="0" documentId="13_ncr:1_{245C0B19-1517-4DE3-9624-19278BF45B78}" xr6:coauthVersionLast="36" xr6:coauthVersionMax="36" xr10:uidLastSave="{00000000-0000-0000-0000-000000000000}"/>
  <bookViews>
    <workbookView xWindow="0" yWindow="0" windowWidth="28800" windowHeight="11805" activeTab="1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POSEBNI_DIO_!$A$1:$E$103</definedName>
    <definedName name="_xlnm.Print_Area" localSheetId="1">'RAČUN PRIHODA I RASHODA'!$A$1:$I$144</definedName>
    <definedName name="_xlnm.Print_Area" localSheetId="0">'SAŽETAK '!$A$1:$J$23</definedName>
  </definedNames>
  <calcPr calcId="191029"/>
</workbook>
</file>

<file path=xl/calcChain.xml><?xml version="1.0" encoding="utf-8"?>
<calcChain xmlns="http://schemas.openxmlformats.org/spreadsheetml/2006/main">
  <c r="J21" i="1" l="1"/>
  <c r="B13" i="9"/>
  <c r="F21" i="1"/>
  <c r="E24" i="7"/>
  <c r="E33" i="7"/>
  <c r="E32" i="7"/>
  <c r="E28" i="7"/>
  <c r="E17" i="7"/>
  <c r="E10" i="7"/>
  <c r="E8" i="7"/>
  <c r="E142" i="7"/>
  <c r="E139" i="7"/>
  <c r="E132" i="7"/>
  <c r="E130" i="7"/>
  <c r="E129" i="7"/>
  <c r="E124" i="7"/>
  <c r="E123" i="7"/>
  <c r="E119" i="7"/>
  <c r="E108" i="7"/>
  <c r="E104" i="7"/>
  <c r="E102" i="7"/>
  <c r="E83" i="7"/>
  <c r="E82" i="7"/>
  <c r="E79" i="7"/>
  <c r="E78" i="7"/>
  <c r="E77" i="7"/>
  <c r="E76" i="7"/>
  <c r="E75" i="7"/>
  <c r="E73" i="7"/>
  <c r="E71" i="7"/>
  <c r="E70" i="7"/>
  <c r="E69" i="7"/>
  <c r="E68" i="7"/>
  <c r="E67" i="7"/>
  <c r="E66" i="7"/>
  <c r="E65" i="7"/>
  <c r="E64" i="7"/>
  <c r="E62" i="7"/>
  <c r="E61" i="7"/>
  <c r="E60" i="7"/>
  <c r="E59" i="7"/>
  <c r="E57" i="7"/>
  <c r="E56" i="7"/>
  <c r="E55" i="7"/>
  <c r="E52" i="7"/>
  <c r="E50" i="7"/>
  <c r="E48" i="7"/>
  <c r="E47" i="7"/>
  <c r="E109" i="7" l="1"/>
  <c r="F110" i="7"/>
  <c r="F109" i="7" s="1"/>
  <c r="G110" i="7"/>
  <c r="G109" i="7" s="1"/>
  <c r="E89" i="7"/>
  <c r="F93" i="7"/>
  <c r="F92" i="7" s="1"/>
  <c r="G93" i="7"/>
  <c r="G92" i="7" s="1"/>
  <c r="G90" i="7"/>
  <c r="G91" i="7"/>
  <c r="G103" i="7"/>
  <c r="D62" i="3"/>
  <c r="E12" i="7"/>
  <c r="E11" i="7" s="1"/>
  <c r="F12" i="7"/>
  <c r="F11" i="7" s="1"/>
  <c r="G12" i="7"/>
  <c r="G11" i="7" s="1"/>
  <c r="E19" i="7"/>
  <c r="F19" i="7"/>
  <c r="G19" i="7"/>
  <c r="D30" i="3"/>
  <c r="D44" i="3"/>
  <c r="D35" i="3"/>
  <c r="D32" i="3"/>
  <c r="D25" i="3"/>
  <c r="F14" i="11"/>
  <c r="F13" i="11"/>
  <c r="F8" i="11"/>
  <c r="F9" i="11"/>
  <c r="D77" i="3"/>
  <c r="D76" i="3" s="1"/>
  <c r="C77" i="3"/>
  <c r="C80" i="3"/>
  <c r="D80" i="3"/>
  <c r="C55" i="3"/>
  <c r="E55" i="3"/>
  <c r="D55" i="3"/>
  <c r="C58" i="3"/>
  <c r="C57" i="3" s="1"/>
  <c r="E58" i="3"/>
  <c r="E57" i="3" s="1"/>
  <c r="D58" i="3"/>
  <c r="D57" i="3" s="1"/>
  <c r="C53" i="3"/>
  <c r="D53" i="3"/>
  <c r="C51" i="3"/>
  <c r="C50" i="3" s="1"/>
  <c r="D51" i="3"/>
  <c r="D50" i="3" s="1"/>
  <c r="C48" i="3"/>
  <c r="D48" i="3"/>
  <c r="D101" i="3"/>
  <c r="D100" i="3"/>
  <c r="D96" i="3"/>
  <c r="D94" i="3"/>
  <c r="D92" i="3"/>
  <c r="D40" i="3"/>
  <c r="D38" i="3"/>
  <c r="D36" i="3"/>
  <c r="D34" i="3"/>
  <c r="D33" i="3"/>
  <c r="D31" i="3"/>
  <c r="D29" i="3"/>
  <c r="F87" i="7"/>
  <c r="E122" i="7"/>
  <c r="F103" i="7"/>
  <c r="F91" i="7"/>
  <c r="F90" i="7"/>
  <c r="F32" i="7"/>
  <c r="F89" i="7" l="1"/>
  <c r="G89" i="7"/>
  <c r="F271" i="10"/>
  <c r="E25" i="11"/>
  <c r="E24" i="11"/>
  <c r="F122" i="7"/>
  <c r="F121" i="7" s="1"/>
  <c r="F125" i="7" s="1"/>
  <c r="G122" i="7"/>
  <c r="E121" i="7"/>
  <c r="E125" i="7" s="1"/>
  <c r="E262" i="10" s="1"/>
  <c r="F118" i="7"/>
  <c r="G118" i="7"/>
  <c r="E118" i="7"/>
  <c r="F94" i="7"/>
  <c r="F88" i="7" s="1"/>
  <c r="G94" i="7"/>
  <c r="E94" i="7"/>
  <c r="E88" i="7" s="1"/>
  <c r="F141" i="7"/>
  <c r="G141" i="7"/>
  <c r="E141" i="7"/>
  <c r="E72" i="7"/>
  <c r="E131" i="7"/>
  <c r="F131" i="7"/>
  <c r="G131" i="7"/>
  <c r="E133" i="7"/>
  <c r="F72" i="7"/>
  <c r="G72" i="7"/>
  <c r="H73" i="7"/>
  <c r="E58" i="7"/>
  <c r="E81" i="7"/>
  <c r="E80" i="7" s="1"/>
  <c r="H83" i="7"/>
  <c r="H78" i="7"/>
  <c r="E128" i="7"/>
  <c r="F71" i="7"/>
  <c r="G71" i="7"/>
  <c r="F70" i="7"/>
  <c r="G70" i="7"/>
  <c r="F69" i="7"/>
  <c r="G69" i="7"/>
  <c r="F59" i="7"/>
  <c r="G59" i="7"/>
  <c r="E137" i="7"/>
  <c r="F138" i="7"/>
  <c r="F140" i="7"/>
  <c r="G140" i="7"/>
  <c r="F134" i="7"/>
  <c r="F133" i="7" s="1"/>
  <c r="G134" i="7"/>
  <c r="F129" i="7"/>
  <c r="F130" i="7"/>
  <c r="G130" i="7"/>
  <c r="G129" i="7"/>
  <c r="G115" i="7"/>
  <c r="F115" i="7"/>
  <c r="E115" i="7"/>
  <c r="G112" i="7"/>
  <c r="G111" i="7" s="1"/>
  <c r="F112" i="7"/>
  <c r="F111" i="7" s="1"/>
  <c r="E112" i="7"/>
  <c r="E111" i="7" s="1"/>
  <c r="E107" i="7"/>
  <c r="F108" i="7"/>
  <c r="F107" i="7" s="1"/>
  <c r="F106" i="7" s="1"/>
  <c r="G108" i="7"/>
  <c r="G107" i="7" s="1"/>
  <c r="G106" i="7" s="1"/>
  <c r="E100" i="7"/>
  <c r="G104" i="7"/>
  <c r="F104" i="7"/>
  <c r="G102" i="7"/>
  <c r="F102" i="7"/>
  <c r="G101" i="7"/>
  <c r="F101" i="7"/>
  <c r="F99" i="7"/>
  <c r="F98" i="7" s="1"/>
  <c r="G99" i="7"/>
  <c r="G98" i="7" s="1"/>
  <c r="G87" i="7"/>
  <c r="E98" i="7"/>
  <c r="G82" i="7"/>
  <c r="H82" i="7" s="1"/>
  <c r="F82" i="7"/>
  <c r="F81" i="7" s="1"/>
  <c r="F80" i="7" s="1"/>
  <c r="E86" i="7"/>
  <c r="E74" i="7"/>
  <c r="F60" i="7"/>
  <c r="G60" i="7"/>
  <c r="H60" i="7" s="1"/>
  <c r="F61" i="7"/>
  <c r="G61" i="7"/>
  <c r="H61" i="7" s="1"/>
  <c r="F62" i="7"/>
  <c r="G62" i="7"/>
  <c r="H62" i="7" s="1"/>
  <c r="F64" i="7"/>
  <c r="G64" i="7"/>
  <c r="H64" i="7" s="1"/>
  <c r="F65" i="7"/>
  <c r="G65" i="7"/>
  <c r="H65" i="7" s="1"/>
  <c r="F66" i="7"/>
  <c r="G66" i="7"/>
  <c r="H66" i="7" s="1"/>
  <c r="F67" i="7"/>
  <c r="G67" i="7"/>
  <c r="H67" i="7" s="1"/>
  <c r="F68" i="7"/>
  <c r="G68" i="7"/>
  <c r="H68" i="7" s="1"/>
  <c r="F75" i="7"/>
  <c r="G75" i="7"/>
  <c r="H75" i="7" s="1"/>
  <c r="F76" i="7"/>
  <c r="G76" i="7"/>
  <c r="H76" i="7" s="1"/>
  <c r="F77" i="7"/>
  <c r="G77" i="7"/>
  <c r="H77" i="7" s="1"/>
  <c r="F79" i="7"/>
  <c r="G79" i="7"/>
  <c r="H79" i="7" s="1"/>
  <c r="E54" i="7"/>
  <c r="F57" i="7"/>
  <c r="G57" i="7"/>
  <c r="H57" i="7" s="1"/>
  <c r="F9" i="7"/>
  <c r="G9" i="7"/>
  <c r="E106" i="7" l="1"/>
  <c r="G88" i="7"/>
  <c r="I88" i="7" s="1"/>
  <c r="E143" i="7"/>
  <c r="F100" i="7"/>
  <c r="F262" i="10"/>
  <c r="E85" i="7"/>
  <c r="E136" i="7"/>
  <c r="E127" i="7"/>
  <c r="H70" i="7"/>
  <c r="G121" i="7"/>
  <c r="H69" i="7"/>
  <c r="E63" i="7"/>
  <c r="E53" i="7" s="1"/>
  <c r="H72" i="7"/>
  <c r="G81" i="7"/>
  <c r="G80" i="7" s="1"/>
  <c r="H71" i="7"/>
  <c r="H59" i="7"/>
  <c r="G128" i="7"/>
  <c r="F128" i="7"/>
  <c r="F137" i="7"/>
  <c r="E97" i="7"/>
  <c r="E105" i="7" s="1"/>
  <c r="G133" i="7"/>
  <c r="G100" i="7"/>
  <c r="G97" i="7" s="1"/>
  <c r="F74" i="7"/>
  <c r="F63" i="7"/>
  <c r="G74" i="7"/>
  <c r="H74" i="7" s="1"/>
  <c r="F58" i="7"/>
  <c r="G58" i="7"/>
  <c r="H58" i="7" s="1"/>
  <c r="G63" i="7"/>
  <c r="H88" i="7" l="1"/>
  <c r="G105" i="7"/>
  <c r="H97" i="7"/>
  <c r="H106" i="7"/>
  <c r="I106" i="7"/>
  <c r="E254" i="10"/>
  <c r="E96" i="7"/>
  <c r="E250" i="10" s="1"/>
  <c r="F97" i="7"/>
  <c r="F105" i="7" s="1"/>
  <c r="H121" i="7"/>
  <c r="G125" i="7"/>
  <c r="F136" i="7"/>
  <c r="F143" i="7"/>
  <c r="H63" i="7"/>
  <c r="G127" i="7"/>
  <c r="F127" i="7"/>
  <c r="F254" i="10" l="1"/>
  <c r="H125" i="7"/>
  <c r="G262" i="10"/>
  <c r="E23" i="7"/>
  <c r="E22" i="7" s="1"/>
  <c r="E25" i="7" s="1"/>
  <c r="F27" i="7"/>
  <c r="F26" i="7" s="1"/>
  <c r="G27" i="7"/>
  <c r="G26" i="7" s="1"/>
  <c r="E29" i="7"/>
  <c r="E7" i="7"/>
  <c r="F7" i="7"/>
  <c r="F6" i="7" s="1"/>
  <c r="F14" i="7" s="1"/>
  <c r="G7" i="7"/>
  <c r="F16" i="7"/>
  <c r="F15" i="7" s="1"/>
  <c r="F18" i="7" s="1"/>
  <c r="F29" i="7"/>
  <c r="G29" i="7"/>
  <c r="F23" i="7"/>
  <c r="F22" i="7" s="1"/>
  <c r="F25" i="7" s="1"/>
  <c r="G23" i="7"/>
  <c r="G22" i="7" s="1"/>
  <c r="G25" i="7" s="1"/>
  <c r="F31" i="7"/>
  <c r="F30" i="7" s="1"/>
  <c r="F34" i="7" s="1"/>
  <c r="E46" i="7"/>
  <c r="E49" i="7"/>
  <c r="G50" i="7"/>
  <c r="G49" i="7" s="1"/>
  <c r="F50" i="7"/>
  <c r="F49" i="7" s="1"/>
  <c r="G48" i="7"/>
  <c r="H48" i="7" s="1"/>
  <c r="F48" i="7"/>
  <c r="F47" i="7"/>
  <c r="F55" i="7"/>
  <c r="F56" i="7"/>
  <c r="F52" i="7"/>
  <c r="F51" i="7" s="1"/>
  <c r="B12" i="9"/>
  <c r="F54" i="7" l="1"/>
  <c r="F53" i="7" s="1"/>
  <c r="F245" i="10"/>
  <c r="F249" i="10"/>
  <c r="F46" i="7"/>
  <c r="F45" i="7" s="1"/>
  <c r="H50" i="7"/>
  <c r="H49" i="7"/>
  <c r="F84" i="7" l="1"/>
  <c r="I22" i="7"/>
  <c r="D37" i="3" l="1"/>
  <c r="C85" i="3" l="1"/>
  <c r="C84" i="3" s="1"/>
  <c r="C78" i="3"/>
  <c r="C72" i="3"/>
  <c r="C71" i="3" s="1"/>
  <c r="C70" i="3" s="1"/>
  <c r="C65" i="3"/>
  <c r="C63" i="3"/>
  <c r="C43" i="3"/>
  <c r="C37" i="3"/>
  <c r="C28" i="3"/>
  <c r="C23" i="3"/>
  <c r="C19" i="3"/>
  <c r="C16" i="3"/>
  <c r="C14" i="3"/>
  <c r="C11" i="3"/>
  <c r="D99" i="3"/>
  <c r="C99" i="3"/>
  <c r="C93" i="3"/>
  <c r="C102" i="3"/>
  <c r="D102" i="3"/>
  <c r="C91" i="3"/>
  <c r="D91" i="3"/>
  <c r="D93" i="3"/>
  <c r="D82" i="3"/>
  <c r="C82" i="3"/>
  <c r="D23" i="3"/>
  <c r="D85" i="3"/>
  <c r="D84" i="3" s="1"/>
  <c r="D78" i="3"/>
  <c r="D73" i="3"/>
  <c r="D63" i="3"/>
  <c r="D43" i="3"/>
  <c r="D28" i="3"/>
  <c r="D19" i="3"/>
  <c r="D16" i="3"/>
  <c r="D14" i="3"/>
  <c r="D11" i="3"/>
  <c r="D72" i="3" l="1"/>
  <c r="D71" i="3" s="1"/>
  <c r="E71" i="3" s="1"/>
  <c r="G138" i="7"/>
  <c r="G137" i="7" s="1"/>
  <c r="C98" i="3"/>
  <c r="C97" i="3" s="1"/>
  <c r="C62" i="3"/>
  <c r="C61" i="3" s="1"/>
  <c r="D47" i="3"/>
  <c r="G86" i="7"/>
  <c r="C47" i="3"/>
  <c r="C46" i="3" s="1"/>
  <c r="C45" i="3" s="1"/>
  <c r="F86" i="7"/>
  <c r="C42" i="3"/>
  <c r="D42" i="3"/>
  <c r="H80" i="7" s="1"/>
  <c r="H81" i="7"/>
  <c r="C10" i="3"/>
  <c r="D10" i="3"/>
  <c r="D90" i="3"/>
  <c r="D89" i="3" s="1"/>
  <c r="C90" i="3"/>
  <c r="C89" i="3" s="1"/>
  <c r="C88" i="3" s="1"/>
  <c r="C87" i="3" s="1"/>
  <c r="C18" i="3"/>
  <c r="D98" i="3"/>
  <c r="D18" i="3"/>
  <c r="D46" i="3" l="1"/>
  <c r="E47" i="3"/>
  <c r="D70" i="3"/>
  <c r="E70" i="3" s="1"/>
  <c r="G136" i="7"/>
  <c r="G143" i="7"/>
  <c r="G254" i="10" s="1"/>
  <c r="C60" i="3"/>
  <c r="D9" i="3"/>
  <c r="F85" i="7"/>
  <c r="F96" i="7" s="1"/>
  <c r="G85" i="7"/>
  <c r="E42" i="3"/>
  <c r="C9" i="3"/>
  <c r="C8" i="3" s="1"/>
  <c r="I80" i="7"/>
  <c r="E77" i="3"/>
  <c r="D97" i="3"/>
  <c r="E97" i="3" s="1"/>
  <c r="E98" i="3"/>
  <c r="D88" i="3"/>
  <c r="D87" i="3" s="1"/>
  <c r="E89" i="3"/>
  <c r="E90" i="3"/>
  <c r="C76" i="3"/>
  <c r="C75" i="3" s="1"/>
  <c r="E18" i="3"/>
  <c r="F7" i="11"/>
  <c r="I85" i="7" l="1"/>
  <c r="H85" i="7"/>
  <c r="G96" i="7"/>
  <c r="F250" i="10"/>
  <c r="F251" i="10" s="1"/>
  <c r="C7" i="3"/>
  <c r="I23" i="11"/>
  <c r="H24" i="11"/>
  <c r="I24" i="11"/>
  <c r="H25" i="11"/>
  <c r="I25" i="11"/>
  <c r="F29" i="11"/>
  <c r="E29" i="11"/>
  <c r="F20" i="11"/>
  <c r="G21" i="1" s="1"/>
  <c r="G20" i="11"/>
  <c r="H21" i="1" s="1"/>
  <c r="E20" i="11"/>
  <c r="I21" i="1" l="1"/>
  <c r="G32" i="11"/>
  <c r="G250" i="10"/>
  <c r="H20" i="11"/>
  <c r="I20" i="11"/>
  <c r="F12" i="11"/>
  <c r="G14" i="11"/>
  <c r="G13" i="11" s="1"/>
  <c r="E14" i="11"/>
  <c r="G9" i="11"/>
  <c r="E9" i="11"/>
  <c r="E8" i="11" s="1"/>
  <c r="E7" i="11" s="1"/>
  <c r="B11" i="9"/>
  <c r="G47" i="7"/>
  <c r="G52" i="7"/>
  <c r="H52" i="7" s="1"/>
  <c r="G55" i="7"/>
  <c r="G56" i="7"/>
  <c r="H56" i="7" s="1"/>
  <c r="E9" i="7"/>
  <c r="E6" i="7" s="1"/>
  <c r="E14" i="7" s="1"/>
  <c r="I32" i="11" l="1"/>
  <c r="H32" i="11"/>
  <c r="G54" i="7"/>
  <c r="G53" i="7" s="1"/>
  <c r="H53" i="7" s="1"/>
  <c r="H47" i="7"/>
  <c r="G46" i="7"/>
  <c r="H55" i="7"/>
  <c r="G12" i="11"/>
  <c r="E13" i="11"/>
  <c r="G8" i="11"/>
  <c r="G7" i="11" s="1"/>
  <c r="E114" i="7"/>
  <c r="F116" i="7"/>
  <c r="F114" i="7"/>
  <c r="E116" i="7"/>
  <c r="D65" i="3"/>
  <c r="D61" i="3" s="1"/>
  <c r="D60" i="3" s="1"/>
  <c r="F113" i="7" l="1"/>
  <c r="F120" i="7" s="1"/>
  <c r="F44" i="7" s="1"/>
  <c r="E60" i="3"/>
  <c r="E61" i="3"/>
  <c r="E113" i="7"/>
  <c r="E120" i="7" s="1"/>
  <c r="E258" i="10" s="1"/>
  <c r="E12" i="11"/>
  <c r="G116" i="7"/>
  <c r="G114" i="7"/>
  <c r="G51" i="7"/>
  <c r="G45" i="7" s="1"/>
  <c r="G84" i="7" s="1"/>
  <c r="E51" i="7"/>
  <c r="E16" i="7"/>
  <c r="E15" i="7" s="1"/>
  <c r="E18" i="7" s="1"/>
  <c r="F135" i="7"/>
  <c r="E135" i="7"/>
  <c r="E126" i="7" s="1"/>
  <c r="F10" i="1" s="1"/>
  <c r="F126" i="7" l="1"/>
  <c r="F246" i="10"/>
  <c r="F144" i="7"/>
  <c r="G113" i="7"/>
  <c r="E45" i="7"/>
  <c r="E84" i="7" s="1"/>
  <c r="E246" i="10" s="1"/>
  <c r="G10" i="1"/>
  <c r="F258" i="10"/>
  <c r="G9" i="1"/>
  <c r="H46" i="7"/>
  <c r="H143" i="7"/>
  <c r="D8" i="3"/>
  <c r="H51" i="7"/>
  <c r="H54" i="7"/>
  <c r="E10" i="3"/>
  <c r="E9" i="3"/>
  <c r="E274" i="10" l="1"/>
  <c r="E44" i="7"/>
  <c r="F247" i="10"/>
  <c r="F278" i="10" s="1"/>
  <c r="F274" i="10"/>
  <c r="G120" i="7"/>
  <c r="I143" i="7"/>
  <c r="H113" i="7"/>
  <c r="E88" i="3"/>
  <c r="D45" i="3"/>
  <c r="I113" i="7"/>
  <c r="I45" i="7"/>
  <c r="H45" i="7"/>
  <c r="I53" i="7"/>
  <c r="H136" i="7"/>
  <c r="I136" i="7"/>
  <c r="H127" i="7"/>
  <c r="I127" i="7"/>
  <c r="G135" i="7"/>
  <c r="E46" i="3"/>
  <c r="E45" i="3" s="1"/>
  <c r="G126" i="7" l="1"/>
  <c r="G246" i="10"/>
  <c r="G44" i="7"/>
  <c r="G34" i="11"/>
  <c r="G144" i="7"/>
  <c r="E144" i="7"/>
  <c r="F9" i="1"/>
  <c r="G258" i="10"/>
  <c r="H120" i="7"/>
  <c r="H9" i="1"/>
  <c r="I135" i="7"/>
  <c r="H135" i="7"/>
  <c r="I84" i="7"/>
  <c r="G6" i="7"/>
  <c r="G14" i="7" s="1"/>
  <c r="I97" i="7"/>
  <c r="H84" i="7"/>
  <c r="I120" i="7"/>
  <c r="I96" i="7"/>
  <c r="H96" i="7"/>
  <c r="G16" i="7"/>
  <c r="G15" i="7" s="1"/>
  <c r="G18" i="7" s="1"/>
  <c r="G33" i="11" s="1"/>
  <c r="E8" i="3"/>
  <c r="E84" i="3"/>
  <c r="C270" i="10"/>
  <c r="D270" i="10"/>
  <c r="D269" i="10"/>
  <c r="C269" i="10"/>
  <c r="G274" i="10" l="1"/>
  <c r="I9" i="1"/>
  <c r="J9" i="1"/>
  <c r="H33" i="11"/>
  <c r="I33" i="11"/>
  <c r="H10" i="1"/>
  <c r="I126" i="7"/>
  <c r="H34" i="11"/>
  <c r="I34" i="11"/>
  <c r="H44" i="7"/>
  <c r="G31" i="7"/>
  <c r="G30" i="7" s="1"/>
  <c r="E62" i="3"/>
  <c r="G245" i="10" l="1"/>
  <c r="G247" i="10" s="1"/>
  <c r="G278" i="10" s="1"/>
  <c r="G34" i="7"/>
  <c r="G35" i="7" s="1"/>
  <c r="J10" i="1"/>
  <c r="I10" i="1"/>
  <c r="G5" i="7"/>
  <c r="I105" i="7"/>
  <c r="H105" i="7"/>
  <c r="H15" i="7"/>
  <c r="I15" i="7"/>
  <c r="I44" i="7"/>
  <c r="I144" i="7"/>
  <c r="E270" i="10"/>
  <c r="I30" i="7" l="1"/>
  <c r="G30" i="11"/>
  <c r="C281" i="10"/>
  <c r="C249" i="10"/>
  <c r="C261" i="10"/>
  <c r="F261" i="10"/>
  <c r="G261" i="10"/>
  <c r="D261" i="10"/>
  <c r="E253" i="10"/>
  <c r="F253" i="10"/>
  <c r="G253" i="10"/>
  <c r="G255" i="10" s="1"/>
  <c r="D249" i="10"/>
  <c r="G29" i="11" l="1"/>
  <c r="I34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I29" i="11" l="1"/>
  <c r="H29" i="1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E76" i="3"/>
  <c r="E257" i="10"/>
  <c r="I18" i="7" l="1"/>
  <c r="H18" i="7"/>
  <c r="D75" i="3"/>
  <c r="D7" i="3" s="1"/>
  <c r="D257" i="10"/>
  <c r="C262" i="10"/>
  <c r="C263" i="10" s="1"/>
  <c r="C258" i="10"/>
  <c r="C254" i="10"/>
  <c r="C265" i="10"/>
  <c r="C267" i="10" s="1"/>
  <c r="C246" i="10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F255" i="10"/>
  <c r="F263" i="10"/>
  <c r="D246" i="10"/>
  <c r="D6" i="3" l="1"/>
  <c r="D13" i="9" s="1"/>
  <c r="F257" i="10"/>
  <c r="F273" i="10" s="1"/>
  <c r="F35" i="7"/>
  <c r="C6" i="3"/>
  <c r="C13" i="9" s="1"/>
  <c r="C12" i="9" s="1"/>
  <c r="C11" i="9" s="1"/>
  <c r="E87" i="3"/>
  <c r="E75" i="3"/>
  <c r="D259" i="10"/>
  <c r="C257" i="10"/>
  <c r="C259" i="10" s="1"/>
  <c r="G8" i="1"/>
  <c r="C274" i="10"/>
  <c r="D253" i="10"/>
  <c r="D255" i="10" s="1"/>
  <c r="D277" i="10" s="1"/>
  <c r="D245" i="10"/>
  <c r="C253" i="10"/>
  <c r="C255" i="10" s="1"/>
  <c r="C277" i="10" s="1"/>
  <c r="D274" i="10"/>
  <c r="F5" i="7" l="1"/>
  <c r="G6" i="1" s="1"/>
  <c r="G5" i="1" s="1"/>
  <c r="E13" i="9"/>
  <c r="F13" i="9"/>
  <c r="D12" i="9"/>
  <c r="E7" i="3"/>
  <c r="F259" i="10"/>
  <c r="F277" i="10" s="1"/>
  <c r="H8" i="1"/>
  <c r="D247" i="10"/>
  <c r="D278" i="10" s="1"/>
  <c r="D273" i="10"/>
  <c r="C245" i="10"/>
  <c r="C247" i="10" s="1"/>
  <c r="J8" i="1" l="1"/>
  <c r="G11" i="1"/>
  <c r="F12" i="9"/>
  <c r="D11" i="9"/>
  <c r="E12" i="9"/>
  <c r="H6" i="7"/>
  <c r="E6" i="3"/>
  <c r="C278" i="10"/>
  <c r="C273" i="10"/>
  <c r="G19" i="1" l="1"/>
  <c r="G23" i="1" s="1"/>
  <c r="F11" i="9"/>
  <c r="E11" i="9"/>
  <c r="G257" i="10"/>
  <c r="G259" i="10" s="1"/>
  <c r="H6" i="1" l="1"/>
  <c r="H14" i="7"/>
  <c r="E31" i="7"/>
  <c r="J6" i="1" l="1"/>
  <c r="E30" i="7"/>
  <c r="H30" i="7" s="1"/>
  <c r="H5" i="1"/>
  <c r="H144" i="7"/>
  <c r="J5" i="1" l="1"/>
  <c r="H11" i="1"/>
  <c r="E245" i="10"/>
  <c r="E34" i="7"/>
  <c r="E5" i="7" s="1"/>
  <c r="E27" i="7"/>
  <c r="E26" i="7" s="1"/>
  <c r="H29" i="7"/>
  <c r="F8" i="1"/>
  <c r="I8" i="1" s="1"/>
  <c r="H126" i="7"/>
  <c r="J11" i="1" l="1"/>
  <c r="H19" i="1"/>
  <c r="H23" i="1" s="1"/>
  <c r="F6" i="1"/>
  <c r="I6" i="1" s="1"/>
  <c r="H5" i="7"/>
  <c r="H22" i="7"/>
  <c r="E247" i="10"/>
  <c r="E278" i="10" s="1"/>
  <c r="H34" i="7"/>
  <c r="E261" i="10"/>
  <c r="E263" i="10" s="1"/>
  <c r="F5" i="1"/>
  <c r="J23" i="1" l="1"/>
  <c r="F11" i="1"/>
  <c r="I11" i="1" s="1"/>
  <c r="I5" i="1"/>
  <c r="F19" i="1"/>
  <c r="F23" i="1" s="1"/>
  <c r="I23" i="1" s="1"/>
  <c r="E11" i="11"/>
  <c r="F11" i="11"/>
  <c r="G11" i="11"/>
  <c r="E269" i="10" s="1"/>
  <c r="E280" i="10" s="1"/>
  <c r="E271" i="10" l="1"/>
  <c r="F280" i="10" l="1"/>
  <c r="G271" i="10"/>
  <c r="G280" i="10"/>
  <c r="I25" i="7" l="1"/>
  <c r="I5" i="7"/>
  <c r="E35" i="7"/>
  <c r="E249" i="10"/>
  <c r="E273" i="10" l="1"/>
  <c r="I35" i="7"/>
  <c r="G249" i="10"/>
  <c r="H25" i="7"/>
  <c r="G251" i="10" l="1"/>
  <c r="G273" i="10"/>
  <c r="H35" i="7"/>
</calcChain>
</file>

<file path=xl/sharedStrings.xml><?xml version="1.0" encoding="utf-8"?>
<sst xmlns="http://schemas.openxmlformats.org/spreadsheetml/2006/main" count="804" uniqueCount="303">
  <si>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</si>
  <si>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</si>
  <si>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</si>
  <si>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</si>
  <si>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</si>
  <si>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</si>
  <si>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</si>
  <si>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</si>
  <si>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 xml:space="preserve">RAČUN FINANCIRANJA </t>
  </si>
  <si>
    <t>PRIMICI OD FINANCIJSKE IMOVINE I ZADUŽIVANJA</t>
  </si>
  <si>
    <t>IZDACI ZA FINANCIJSKU IMOVINU I OTPLATE ZAJMOVA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</si>
  <si>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</si>
  <si>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</si>
  <si>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</si>
  <si>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</si>
  <si>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</si>
  <si>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</si>
  <si>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</si>
  <si>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</si>
  <si>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</si>
  <si>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</si>
  <si>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</si>
  <si>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</si>
  <si>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</si>
  <si>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</si>
  <si>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</si>
  <si>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</si>
  <si>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</si>
  <si>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</si>
  <si>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</si>
  <si>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</si>
  <si>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</si>
  <si>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</si>
  <si>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</si>
  <si>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</si>
  <si>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</si>
  <si>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</si>
  <si>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</si>
  <si>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</si>
  <si>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</si>
  <si>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</si>
  <si>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</si>
  <si>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</si>
  <si>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</si>
  <si>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</si>
  <si>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</si>
  <si>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</si>
  <si>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</si>
  <si>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</si>
  <si>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</si>
  <si>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</si>
  <si>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</si>
  <si>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</si>
  <si>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</si>
  <si>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</si>
  <si>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</si>
  <si>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</si>
  <si>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</si>
  <si>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</si>
  <si>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</si>
  <si>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</si>
  <si>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</si>
  <si>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</si>
  <si>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</si>
  <si>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</si>
  <si>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</si>
  <si>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</si>
  <si>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</si>
  <si>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</si>
  <si>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</si>
  <si>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</si>
  <si>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</si>
  <si>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</si>
  <si>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</si>
  <si>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</si>
  <si>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</si>
  <si>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</si>
  <si>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</si>
  <si>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</si>
  <si>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</si>
  <si>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</si>
  <si>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</si>
  <si>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</si>
  <si>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</si>
  <si>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</si>
  <si>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</si>
  <si>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</si>
  <si>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</si>
  <si>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</si>
  <si>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</si>
  <si>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</si>
  <si>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</si>
  <si>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</si>
  <si>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</si>
  <si>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</si>
  <si>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</si>
  <si>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</si>
  <si>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</si>
  <si>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</si>
  <si>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</si>
  <si>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</si>
  <si>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</si>
  <si>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</si>
  <si>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</si>
  <si>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</si>
  <si>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</si>
  <si>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</si>
  <si>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</si>
  <si>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</si>
  <si>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</si>
  <si>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</si>
  <si>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</si>
  <si>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</si>
  <si>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</si>
  <si>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</si>
  <si>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</si>
  <si>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</si>
  <si>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</si>
  <si>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</si>
  <si>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</si>
  <si>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</si>
  <si>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</si>
  <si>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</si>
  <si>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</si>
  <si>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</si>
  <si>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</si>
  <si>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</si>
  <si>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</si>
  <si>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</si>
  <si>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</si>
  <si>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</si>
  <si>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</si>
  <si>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</si>
  <si>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</si>
  <si>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</si>
  <si>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</si>
  <si>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</si>
  <si>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</si>
  <si>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</si>
  <si>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</si>
  <si>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</si>
  <si>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</si>
  <si>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</si>
  <si>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</si>
  <si>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</si>
  <si>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</si>
  <si>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</si>
  <si>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</si>
  <si>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</si>
  <si>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</si>
  <si>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</si>
  <si>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</si>
  <si>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</si>
  <si>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</si>
  <si>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</si>
  <si>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</si>
  <si>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</si>
  <si>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</si>
  <si>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</si>
  <si>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</si>
  <si>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</si>
  <si>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</si>
  <si>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</si>
  <si>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</si>
  <si>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</si>
  <si>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</si>
  <si>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</si>
  <si>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</si>
  <si>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</si>
  <si>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</si>
  <si>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</si>
  <si>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</si>
  <si>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</si>
  <si>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</si>
  <si>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</si>
  <si>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</si>
  <si>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</si>
  <si>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</si>
  <si>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</si>
  <si>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</si>
  <si>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</si>
  <si>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</si>
  <si>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</si>
  <si>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</si>
  <si>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</si>
  <si>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</si>
  <si>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</si>
  <si>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</si>
  <si>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</si>
  <si>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</si>
  <si>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</si>
  <si>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</si>
  <si>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</si>
  <si>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</si>
  <si>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</si>
  <si>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</si>
  <si>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</si>
  <si>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</si>
  <si>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</si>
  <si>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</si>
  <si>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</si>
  <si>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</si>
  <si>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</si>
  <si>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</si>
  <si>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</si>
  <si>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</si>
  <si>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</si>
  <si>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Bankarske usluge i usluge platnog prometa</t>
  </si>
  <si>
    <t xml:space="preserve">Naknade troškova osobama izvan radnog odnosa </t>
  </si>
  <si>
    <t>4222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</si>
  <si>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</si>
  <si>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</si>
  <si>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</si>
  <si>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</si>
  <si>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</si>
  <si>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</si>
  <si>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</si>
  <si>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</si>
  <si>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</si>
  <si>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</si>
  <si>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</si>
  <si>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</si>
  <si>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</si>
  <si>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</si>
  <si>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</si>
  <si>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</si>
  <si>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</si>
  <si>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</si>
  <si>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</si>
  <si>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</si>
  <si>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</si>
  <si>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</si>
  <si>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</si>
  <si>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</si>
  <si>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</si>
  <si>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</si>
  <si>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</si>
  <si>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</si>
  <si>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</si>
  <si>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922</t>
  </si>
  <si>
    <t>PRIJENOS SREDSTAVA IZ PRETHODNE GODINE</t>
  </si>
  <si>
    <t>PRIJENOS SREDSTAVA U SLJEDEĆU GODINU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</si>
  <si>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</si>
  <si>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</si>
  <si>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</si>
  <si>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</si>
  <si>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</si>
  <si>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</si>
  <si>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</si>
  <si>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</si>
  <si>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</si>
  <si>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</si>
  <si>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</si>
  <si>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</si>
  <si>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</si>
  <si>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</si>
  <si>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</si>
  <si>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</si>
  <si>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</si>
  <si>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</si>
  <si>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</si>
  <si>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</si>
  <si>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</si>
  <si>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</si>
  <si>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</si>
  <si>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</si>
  <si>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</si>
  <si>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</si>
  <si>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</si>
  <si>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</si>
  <si>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</si>
  <si>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</si>
  <si>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</si>
  <si>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</si>
  <si>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</si>
  <si>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Oprema za održavanje i zaštitu</t>
  </si>
  <si>
    <t>Usluge promidžbe i informiranja</t>
  </si>
  <si>
    <t>Članarine i norme</t>
  </si>
  <si>
    <t>Ulaganja u računalne programe</t>
  </si>
  <si>
    <t xml:space="preserve">082 Službe kulture </t>
  </si>
  <si>
    <t>08 Rekreacija, kultura i religija</t>
  </si>
  <si>
    <t>4223</t>
  </si>
  <si>
    <t>Troškovi sudskih postupaka</t>
  </si>
  <si>
    <t>Zatezne kamate</t>
  </si>
  <si>
    <t>324</t>
  </si>
  <si>
    <t>424</t>
  </si>
  <si>
    <t>Knjige</t>
  </si>
  <si>
    <t>4241</t>
  </si>
  <si>
    <t>Ostala komunikacijska oprema</t>
  </si>
  <si>
    <t>323</t>
  </si>
  <si>
    <t>Grafičke i tiskarske usluge. usluge kopiranja i uvezivanja i slično</t>
  </si>
  <si>
    <t>32</t>
  </si>
  <si>
    <t>3237</t>
  </si>
  <si>
    <t>GODIŠNJI IZVJEŠTAJ O IZVRŠENJU FINANCIJSKOG PLANA ZA 2023.g.</t>
  </si>
  <si>
    <t>Negativne tečajne razlike i razlike</t>
  </si>
  <si>
    <t>Negativne tečajne razlike</t>
  </si>
  <si>
    <t>Naknade troškova osobama izvan radnog odnosa</t>
  </si>
  <si>
    <t>Kamate na depozite po viđenju</t>
  </si>
  <si>
    <t>66</t>
  </si>
  <si>
    <t>Prihodi od pozitivnih tečajnih razlika</t>
  </si>
  <si>
    <t>RAZLIKA - PRIMIC/IZDACI</t>
  </si>
  <si>
    <t>PRIJENOS KOJI SE KORISTIO ZA PLAĆANJE RASHODA I IZDATAKA
U TEKUĆOJ GODINI</t>
  </si>
  <si>
    <t>RAZLIKA - PRIHODI/RASHODI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</si>
</sst>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5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8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494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7" xfId="2" applyNumberFormat="1" applyFont="1" applyBorder="1" applyAlignment="1">
      <alignment vertical="center"/>
    </xf>
    <xf numFmtId="3" fontId="19" fillId="0" borderId="18" xfId="2" applyNumberFormat="1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3" fontId="19" fillId="0" borderId="20" xfId="2" applyNumberFormat="1" applyFont="1" applyBorder="1" applyAlignment="1">
      <alignment vertical="center"/>
    </xf>
    <xf numFmtId="3" fontId="19" fillId="0" borderId="21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3" fontId="12" fillId="0" borderId="17" xfId="2" applyNumberFormat="1" applyFont="1" applyBorder="1" applyAlignment="1">
      <alignment horizontal="right" vertical="center"/>
    </xf>
    <xf numFmtId="3" fontId="12" fillId="0" borderId="18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0" xfId="2" applyNumberFormat="1" applyFont="1" applyBorder="1" applyAlignment="1">
      <alignment horizontal="right" vertical="center"/>
    </xf>
    <xf numFmtId="3" fontId="19" fillId="0" borderId="21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8" fillId="0" borderId="0" xfId="2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6" xfId="2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/>
    </xf>
    <xf numFmtId="3" fontId="12" fillId="0" borderId="23" xfId="2" applyNumberFormat="1" applyFont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3" fontId="18" fillId="0" borderId="17" xfId="2" applyNumberFormat="1" applyFont="1" applyBorder="1"/>
    <xf numFmtId="0" fontId="12" fillId="0" borderId="17" xfId="3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17" xfId="2" applyNumberFormat="1" applyFont="1" applyBorder="1" applyAlignment="1">
      <alignment horizontal="right"/>
    </xf>
    <xf numFmtId="3" fontId="18" fillId="0" borderId="24" xfId="2" applyNumberFormat="1" applyFont="1" applyBorder="1"/>
    <xf numFmtId="3" fontId="18" fillId="0" borderId="25" xfId="2" applyNumberFormat="1" applyFont="1" applyBorder="1"/>
    <xf numFmtId="3" fontId="18" fillId="0" borderId="18" xfId="2" applyNumberFormat="1" applyFont="1" applyBorder="1"/>
    <xf numFmtId="3" fontId="12" fillId="0" borderId="17" xfId="2" applyNumberFormat="1" applyFont="1" applyBorder="1" applyAlignment="1">
      <alignment horizontal="right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0" xfId="2" applyNumberFormat="1" applyFont="1" applyBorder="1" applyAlignment="1">
      <alignment horizontal="right"/>
    </xf>
    <xf numFmtId="3" fontId="18" fillId="0" borderId="20" xfId="2" applyNumberFormat="1" applyFont="1" applyBorder="1"/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/>
    <xf numFmtId="3" fontId="12" fillId="0" borderId="22" xfId="2" quotePrefix="1" applyNumberFormat="1" applyFont="1" applyBorder="1" applyAlignment="1">
      <alignment horizontal="center" vertical="center"/>
    </xf>
    <xf numFmtId="3" fontId="18" fillId="0" borderId="17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8" xfId="2" quotePrefix="1" applyNumberFormat="1" applyFont="1" applyBorder="1" applyAlignment="1">
      <alignment horizontal="center" vertical="center"/>
    </xf>
    <xf numFmtId="3" fontId="12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center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0" fontId="18" fillId="4" borderId="0" xfId="2" applyFont="1" applyFill="1" applyAlignment="1">
      <alignment horizontal="center"/>
    </xf>
    <xf numFmtId="3" fontId="8" fillId="4" borderId="4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/>
    </xf>
    <xf numFmtId="49" fontId="8" fillId="4" borderId="4" xfId="2" applyNumberFormat="1" applyFont="1" applyFill="1" applyBorder="1" applyAlignment="1">
      <alignment horizontal="center" vertical="center"/>
    </xf>
    <xf numFmtId="49" fontId="12" fillId="4" borderId="30" xfId="2" applyNumberFormat="1" applyFont="1" applyFill="1" applyBorder="1" applyAlignment="1">
      <alignment horizontal="center" vertical="center"/>
    </xf>
    <xf numFmtId="49" fontId="12" fillId="4" borderId="31" xfId="2" applyNumberFormat="1" applyFont="1" applyFill="1" applyBorder="1" applyAlignment="1">
      <alignment vertical="center"/>
    </xf>
    <xf numFmtId="49" fontId="18" fillId="4" borderId="32" xfId="2" applyNumberFormat="1" applyFont="1" applyFill="1" applyBorder="1" applyAlignment="1">
      <alignment vertical="center"/>
    </xf>
    <xf numFmtId="49" fontId="18" fillId="4" borderId="33" xfId="2" applyNumberFormat="1" applyFont="1" applyFill="1" applyBorder="1" applyAlignment="1">
      <alignment vertical="center"/>
    </xf>
    <xf numFmtId="49" fontId="18" fillId="4" borderId="34" xfId="2" applyNumberFormat="1" applyFont="1" applyFill="1" applyBorder="1" applyAlignment="1">
      <alignment vertical="center"/>
    </xf>
    <xf numFmtId="49" fontId="18" fillId="4" borderId="35" xfId="2" applyNumberFormat="1" applyFont="1" applyFill="1" applyBorder="1" applyAlignment="1">
      <alignment vertical="center"/>
    </xf>
    <xf numFmtId="49" fontId="18" fillId="4" borderId="19" xfId="2" applyNumberFormat="1" applyFont="1" applyFill="1" applyBorder="1" applyAlignment="1">
      <alignment vertical="center"/>
    </xf>
    <xf numFmtId="3" fontId="18" fillId="4" borderId="24" xfId="2" applyNumberFormat="1" applyFont="1" applyFill="1" applyBorder="1" applyAlignment="1">
      <alignment horizontal="right"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 vertical="center"/>
    </xf>
    <xf numFmtId="3" fontId="12" fillId="4" borderId="39" xfId="2" applyNumberFormat="1" applyFont="1" applyFill="1" applyBorder="1" applyAlignment="1">
      <alignment horizontal="right" vertical="center"/>
    </xf>
    <xf numFmtId="3" fontId="19" fillId="4" borderId="38" xfId="2" applyNumberFormat="1" applyFont="1" applyFill="1" applyBorder="1" applyAlignment="1">
      <alignment horizontal="right"/>
    </xf>
    <xf numFmtId="3" fontId="19" fillId="4" borderId="39" xfId="2" applyNumberFormat="1" applyFont="1" applyFill="1" applyBorder="1" applyAlignment="1">
      <alignment horizontal="right"/>
    </xf>
    <xf numFmtId="3" fontId="19" fillId="4" borderId="38" xfId="2" applyNumberFormat="1" applyFont="1" applyFill="1" applyBorder="1" applyAlignment="1">
      <alignment horizontal="right" vertical="center"/>
    </xf>
    <xf numFmtId="3" fontId="19" fillId="4" borderId="39" xfId="2" applyNumberFormat="1" applyFont="1" applyFill="1" applyBorder="1" applyAlignment="1">
      <alignment horizontal="right" vertical="center"/>
    </xf>
    <xf numFmtId="3" fontId="12" fillId="4" borderId="30" xfId="2" applyNumberFormat="1" applyFont="1" applyFill="1" applyBorder="1" applyAlignment="1">
      <alignment horizontal="right"/>
    </xf>
    <xf numFmtId="3" fontId="12" fillId="4" borderId="38" xfId="2" applyNumberFormat="1" applyFont="1" applyFill="1" applyBorder="1" applyAlignment="1">
      <alignment horizontal="right"/>
    </xf>
    <xf numFmtId="3" fontId="12" fillId="4" borderId="39" xfId="2" applyNumberFormat="1" applyFont="1" applyFill="1" applyBorder="1" applyAlignment="1">
      <alignment horizontal="right"/>
    </xf>
    <xf numFmtId="3" fontId="18" fillId="4" borderId="19" xfId="2" applyNumberFormat="1" applyFont="1" applyFill="1" applyBorder="1" applyAlignment="1">
      <alignment horizontal="right" vertical="center"/>
    </xf>
    <xf numFmtId="3" fontId="18" fillId="4" borderId="20" xfId="2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/>
    </xf>
    <xf numFmtId="3" fontId="12" fillId="4" borderId="20" xfId="2" applyNumberFormat="1" applyFont="1" applyFill="1" applyBorder="1" applyAlignment="1">
      <alignment horizontal="right"/>
    </xf>
    <xf numFmtId="0" fontId="12" fillId="4" borderId="20" xfId="2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4" xfId="2" applyNumberFormat="1" applyFont="1" applyFill="1" applyBorder="1" applyAlignment="1">
      <alignment horizontal="right" vertical="center"/>
    </xf>
    <xf numFmtId="3" fontId="12" fillId="4" borderId="25" xfId="2" applyNumberFormat="1" applyFont="1" applyFill="1" applyBorder="1" applyAlignment="1">
      <alignment horizontal="right" vertical="center"/>
    </xf>
    <xf numFmtId="3" fontId="18" fillId="0" borderId="36" xfId="2" applyNumberFormat="1" applyFont="1" applyBorder="1" applyAlignment="1">
      <alignment horizontal="right"/>
    </xf>
    <xf numFmtId="0" fontId="18" fillId="0" borderId="36" xfId="2" applyFont="1" applyBorder="1" applyAlignment="1">
      <alignment horizontal="right"/>
    </xf>
    <xf numFmtId="3" fontId="18" fillId="0" borderId="37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29" xfId="2" applyNumberFormat="1" applyFont="1" applyFill="1" applyBorder="1" applyAlignment="1">
      <alignment vertical="center"/>
    </xf>
    <xf numFmtId="3" fontId="19" fillId="4" borderId="41" xfId="2" applyNumberFormat="1" applyFont="1" applyFill="1" applyBorder="1"/>
    <xf numFmtId="0" fontId="19" fillId="4" borderId="42" xfId="2" applyFont="1" applyFill="1" applyBorder="1" applyAlignment="1">
      <alignment horizontal="center" vertical="center"/>
    </xf>
    <xf numFmtId="3" fontId="19" fillId="4" borderId="43" xfId="2" applyNumberFormat="1" applyFont="1" applyFill="1" applyBorder="1" applyAlignment="1">
      <alignment vertical="center"/>
    </xf>
    <xf numFmtId="3" fontId="19" fillId="4" borderId="12" xfId="2" applyNumberFormat="1" applyFont="1" applyFill="1" applyBorder="1" applyAlignment="1">
      <alignment vertical="center"/>
    </xf>
    <xf numFmtId="3" fontId="12" fillId="4" borderId="24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/>
    </xf>
    <xf numFmtId="3" fontId="18" fillId="4" borderId="13" xfId="2" applyNumberFormat="1" applyFont="1" applyFill="1" applyBorder="1" applyAlignment="1">
      <alignment horizontal="right" vertical="center"/>
    </xf>
    <xf numFmtId="3" fontId="18" fillId="4" borderId="14" xfId="2" applyNumberFormat="1" applyFont="1" applyFill="1" applyBorder="1" applyAlignment="1">
      <alignment horizontal="right" vertical="center"/>
    </xf>
    <xf numFmtId="3" fontId="18" fillId="4" borderId="15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/>
    </xf>
    <xf numFmtId="3" fontId="18" fillId="4" borderId="36" xfId="2" applyNumberFormat="1" applyFont="1" applyFill="1" applyBorder="1" applyAlignment="1">
      <alignment horizontal="right" vertical="center"/>
    </xf>
    <xf numFmtId="0" fontId="19" fillId="4" borderId="38" xfId="2" applyFont="1" applyFill="1" applyBorder="1" applyAlignment="1">
      <alignment horizontal="right" vertical="center"/>
    </xf>
    <xf numFmtId="3" fontId="18" fillId="4" borderId="37" xfId="2" applyNumberFormat="1" applyFont="1" applyFill="1" applyBorder="1" applyAlignment="1">
      <alignment horizontal="right" vertical="center"/>
    </xf>
    <xf numFmtId="3" fontId="18" fillId="4" borderId="44" xfId="2" applyNumberFormat="1" applyFont="1" applyFill="1" applyBorder="1" applyAlignment="1">
      <alignment horizontal="right" vertical="center"/>
    </xf>
    <xf numFmtId="3" fontId="12" fillId="4" borderId="45" xfId="2" applyNumberFormat="1" applyFont="1" applyFill="1" applyBorder="1" applyAlignment="1">
      <alignment horizontal="right"/>
    </xf>
    <xf numFmtId="3" fontId="18" fillId="4" borderId="46" xfId="2" applyNumberFormat="1" applyFont="1" applyFill="1" applyBorder="1" applyAlignment="1">
      <alignment horizontal="right" vertical="center"/>
    </xf>
    <xf numFmtId="0" fontId="19" fillId="4" borderId="45" xfId="2" applyFont="1" applyFill="1" applyBorder="1" applyAlignment="1">
      <alignment horizontal="right" vertical="center"/>
    </xf>
    <xf numFmtId="0" fontId="19" fillId="4" borderId="45" xfId="2" applyFont="1" applyFill="1" applyBorder="1" applyAlignment="1">
      <alignment horizontal="right"/>
    </xf>
    <xf numFmtId="49" fontId="18" fillId="4" borderId="21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horizontal="left" vertical="center" wrapText="1"/>
    </xf>
    <xf numFmtId="49" fontId="18" fillId="4" borderId="25" xfId="2" applyNumberFormat="1" applyFont="1" applyFill="1" applyBorder="1" applyAlignment="1">
      <alignment vertical="center"/>
    </xf>
    <xf numFmtId="49" fontId="12" fillId="4" borderId="39" xfId="2" applyNumberFormat="1" applyFont="1" applyFill="1" applyBorder="1" applyAlignment="1">
      <alignment vertical="center"/>
    </xf>
    <xf numFmtId="49" fontId="18" fillId="4" borderId="37" xfId="2" applyNumberFormat="1" applyFont="1" applyFill="1" applyBorder="1" applyAlignment="1">
      <alignment vertical="center"/>
    </xf>
    <xf numFmtId="3" fontId="12" fillId="4" borderId="46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/>
    </xf>
    <xf numFmtId="3" fontId="12" fillId="4" borderId="19" xfId="2" applyNumberFormat="1" applyFont="1" applyFill="1" applyBorder="1" applyAlignment="1">
      <alignment horizontal="right"/>
    </xf>
    <xf numFmtId="3" fontId="12" fillId="4" borderId="13" xfId="2" applyNumberFormat="1" applyFont="1" applyFill="1" applyBorder="1" applyAlignment="1">
      <alignment horizontal="right" vertical="center"/>
    </xf>
    <xf numFmtId="3" fontId="12" fillId="4" borderId="48" xfId="2" applyNumberFormat="1" applyFont="1" applyFill="1" applyBorder="1" applyAlignment="1">
      <alignment horizontal="right"/>
    </xf>
    <xf numFmtId="3" fontId="12" fillId="4" borderId="16" xfId="2" applyNumberFormat="1" applyFont="1" applyFill="1" applyBorder="1" applyAlignment="1">
      <alignment horizontal="right" vertical="center"/>
    </xf>
    <xf numFmtId="3" fontId="18" fillId="0" borderId="19" xfId="2" applyNumberFormat="1" applyFont="1" applyBorder="1" applyAlignment="1">
      <alignment horizontal="right"/>
    </xf>
    <xf numFmtId="0" fontId="21" fillId="0" borderId="0" xfId="0" applyFont="1"/>
    <xf numFmtId="0" fontId="8" fillId="4" borderId="0" xfId="1" applyFont="1" applyFill="1" applyAlignment="1">
      <alignment vertical="center" wrapText="1"/>
    </xf>
    <xf numFmtId="3" fontId="12" fillId="0" borderId="15" xfId="2" applyNumberFormat="1" applyFont="1" applyBorder="1" applyAlignment="1">
      <alignment horizontal="right"/>
    </xf>
    <xf numFmtId="3" fontId="12" fillId="0" borderId="49" xfId="2" applyNumberFormat="1" applyFont="1" applyBorder="1" applyAlignment="1">
      <alignment horizontal="right"/>
    </xf>
    <xf numFmtId="3" fontId="12" fillId="0" borderId="20" xfId="2" applyNumberFormat="1" applyFont="1" applyBorder="1" applyAlignment="1">
      <alignment horizontal="right"/>
    </xf>
    <xf numFmtId="3" fontId="12" fillId="0" borderId="21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4" fillId="0" borderId="0" xfId="0" applyFont="1"/>
    <xf numFmtId="3" fontId="18" fillId="4" borderId="1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8" fillId="0" borderId="4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/>
    </xf>
    <xf numFmtId="49" fontId="31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1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vertical="center"/>
    </xf>
    <xf numFmtId="49" fontId="31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8" fillId="6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3" fontId="31" fillId="0" borderId="4" xfId="0" applyNumberFormat="1" applyFont="1" applyBorder="1" applyAlignment="1">
      <alignment horizontal="right" vertical="center"/>
    </xf>
    <xf numFmtId="3" fontId="30" fillId="0" borderId="4" xfId="0" applyNumberFormat="1" applyFont="1" applyBorder="1" applyAlignment="1">
      <alignment horizontal="right" vertical="center"/>
    </xf>
    <xf numFmtId="3" fontId="31" fillId="4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4" fillId="4" borderId="10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0" xfId="1" applyFont="1" applyFill="1" applyBorder="1" applyAlignment="1">
      <alignment horizontal="center" vertical="center" wrapText="1"/>
    </xf>
    <xf numFmtId="3" fontId="28" fillId="2" borderId="10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3" fontId="38" fillId="0" borderId="10" xfId="7" applyNumberFormat="1" applyFont="1" applyBorder="1" applyAlignment="1">
      <alignment horizontal="right" vertical="center"/>
    </xf>
    <xf numFmtId="3" fontId="34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40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9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4" borderId="10" xfId="6" applyNumberFormat="1" applyFont="1" applyFill="1" applyBorder="1" applyAlignment="1">
      <alignment horizontal="right" vertical="center"/>
    </xf>
    <xf numFmtId="3" fontId="8" fillId="6" borderId="10" xfId="0" applyNumberFormat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5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6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7" fillId="6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vertical="center"/>
    </xf>
    <xf numFmtId="3" fontId="8" fillId="6" borderId="10" xfId="0" applyNumberFormat="1" applyFont="1" applyFill="1" applyBorder="1" applyAlignment="1">
      <alignment horizontal="left" vertical="center" wrapText="1"/>
    </xf>
    <xf numFmtId="3" fontId="12" fillId="4" borderId="10" xfId="0" applyNumberFormat="1" applyFont="1" applyFill="1" applyBorder="1" applyAlignment="1">
      <alignment horizontal="right" vertical="center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1" fillId="0" borderId="51" xfId="0" applyFont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41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18" fillId="0" borderId="10" xfId="0" applyNumberFormat="1" applyFont="1" applyBorder="1" applyAlignment="1">
      <alignment horizontal="center" vertical="center"/>
    </xf>
    <xf numFmtId="0" fontId="18" fillId="6" borderId="10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right" vertical="center"/>
    </xf>
    <xf numFmtId="3" fontId="8" fillId="3" borderId="52" xfId="0" applyNumberFormat="1" applyFont="1" applyFill="1" applyBorder="1" applyAlignment="1">
      <alignment vertical="center" wrapText="1"/>
    </xf>
    <xf numFmtId="3" fontId="18" fillId="2" borderId="52" xfId="0" applyNumberFormat="1" applyFont="1" applyFill="1" applyBorder="1" applyAlignment="1">
      <alignment vertical="center" wrapText="1"/>
    </xf>
    <xf numFmtId="3" fontId="18" fillId="2" borderId="52" xfId="0" applyNumberFormat="1" applyFont="1" applyFill="1" applyBorder="1" applyAlignment="1">
      <alignment vertical="center"/>
    </xf>
    <xf numFmtId="164" fontId="8" fillId="3" borderId="52" xfId="0" applyNumberFormat="1" applyFont="1" applyFill="1" applyBorder="1" applyAlignment="1">
      <alignment horizontal="right" vertical="center"/>
    </xf>
    <xf numFmtId="164" fontId="12" fillId="3" borderId="56" xfId="0" applyNumberFormat="1" applyFont="1" applyFill="1" applyBorder="1" applyAlignment="1">
      <alignment horizontal="right" vertical="center"/>
    </xf>
    <xf numFmtId="3" fontId="18" fillId="0" borderId="4" xfId="0" applyNumberFormat="1" applyFont="1" applyBorder="1"/>
    <xf numFmtId="3" fontId="44" fillId="5" borderId="4" xfId="0" applyNumberFormat="1" applyFont="1" applyFill="1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3" fontId="9" fillId="2" borderId="52" xfId="0" applyNumberFormat="1" applyFont="1" applyFill="1" applyBorder="1" applyAlignment="1">
      <alignment horizontal="right" vertical="center"/>
    </xf>
    <xf numFmtId="0" fontId="18" fillId="0" borderId="4" xfId="0" applyFont="1" applyBorder="1"/>
    <xf numFmtId="3" fontId="18" fillId="5" borderId="4" xfId="0" applyNumberFormat="1" applyFont="1" applyFill="1" applyBorder="1" applyAlignment="1">
      <alignment vertical="center"/>
    </xf>
    <xf numFmtId="3" fontId="12" fillId="4" borderId="18" xfId="2" applyNumberFormat="1" applyFont="1" applyFill="1" applyBorder="1" applyAlignment="1">
      <alignment horizontal="right" vertical="center"/>
    </xf>
    <xf numFmtId="3" fontId="18" fillId="4" borderId="21" xfId="2" applyNumberFormat="1" applyFont="1" applyFill="1" applyBorder="1" applyAlignment="1">
      <alignment horizontal="right" vertical="center"/>
    </xf>
    <xf numFmtId="0" fontId="43" fillId="2" borderId="52" xfId="0" applyFont="1" applyFill="1" applyBorder="1" applyAlignment="1">
      <alignment horizontal="center" vertical="center" wrapText="1"/>
    </xf>
    <xf numFmtId="0" fontId="43" fillId="2" borderId="53" xfId="0" applyFont="1" applyFill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vertical="center" wrapText="1"/>
    </xf>
    <xf numFmtId="0" fontId="8" fillId="3" borderId="53" xfId="0" applyFont="1" applyFill="1" applyBorder="1" applyAlignment="1">
      <alignment vertical="center" wrapText="1"/>
    </xf>
    <xf numFmtId="0" fontId="8" fillId="3" borderId="54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3" fontId="8" fillId="2" borderId="50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9" fillId="4" borderId="10" xfId="6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3" fontId="12" fillId="4" borderId="19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16" xfId="2" applyNumberFormat="1" applyFont="1" applyFill="1" applyBorder="1" applyAlignment="1">
      <alignment horizontal="center"/>
    </xf>
    <xf numFmtId="3" fontId="12" fillId="4" borderId="47" xfId="2" applyNumberFormat="1" applyFont="1" applyFill="1" applyBorder="1" applyAlignment="1">
      <alignment horizontal="center"/>
    </xf>
    <xf numFmtId="3" fontId="12" fillId="4" borderId="40" xfId="2" applyNumberFormat="1" applyFont="1" applyFill="1" applyBorder="1" applyAlignment="1">
      <alignment horizontal="center"/>
    </xf>
    <xf numFmtId="3" fontId="12" fillId="4" borderId="32" xfId="2" applyNumberFormat="1" applyFont="1" applyFill="1" applyBorder="1" applyAlignment="1">
      <alignment horizontal="center"/>
    </xf>
    <xf numFmtId="3" fontId="12" fillId="4" borderId="33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34" xfId="2" applyNumberFormat="1" applyFont="1" applyFill="1" applyBorder="1" applyAlignment="1">
      <alignment horizontal="center"/>
    </xf>
    <xf numFmtId="3" fontId="12" fillId="4" borderId="35" xfId="2" applyNumberFormat="1" applyFont="1" applyFill="1" applyBorder="1" applyAlignment="1">
      <alignment horizontal="center"/>
    </xf>
    <xf numFmtId="3" fontId="12" fillId="4" borderId="13" xfId="2" applyNumberFormat="1" applyFont="1" applyFill="1" applyBorder="1" applyAlignment="1">
      <alignment horizontal="center"/>
    </xf>
    <xf numFmtId="3" fontId="12" fillId="4" borderId="15" xfId="2" applyNumberFormat="1" applyFont="1" applyFill="1" applyBorder="1" applyAlignment="1">
      <alignment horizontal="center"/>
    </xf>
    <xf numFmtId="49" fontId="12" fillId="4" borderId="2" xfId="2" applyNumberFormat="1" applyFont="1" applyFill="1" applyBorder="1" applyAlignment="1">
      <alignment horizontal="right" vertical="center"/>
    </xf>
    <xf numFmtId="49" fontId="12" fillId="4" borderId="3" xfId="2" applyNumberFormat="1" applyFont="1" applyFill="1" applyBorder="1" applyAlignment="1">
      <alignment horizontal="right" vertical="center"/>
    </xf>
    <xf numFmtId="49" fontId="12" fillId="4" borderId="5" xfId="2" applyNumberFormat="1" applyFont="1" applyFill="1" applyBorder="1" applyAlignment="1">
      <alignment horizontal="right" vertical="center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20" fillId="4" borderId="0" xfId="2" applyNumberFormat="1" applyFont="1" applyFill="1" applyAlignment="1">
      <alignment horizontal="center" vertical="center"/>
    </xf>
    <xf numFmtId="0" fontId="8" fillId="0" borderId="12" xfId="2" quotePrefix="1" applyFont="1" applyBorder="1" applyAlignment="1">
      <alignment horizontal="center" vertical="center" wrapText="1"/>
    </xf>
    <xf numFmtId="0" fontId="8" fillId="0" borderId="11" xfId="2" quotePrefix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3" fontId="8" fillId="0" borderId="12" xfId="2" quotePrefix="1" applyNumberFormat="1" applyFont="1" applyBorder="1" applyAlignment="1">
      <alignment horizontal="center" vertical="center" wrapText="1"/>
    </xf>
    <xf numFmtId="3" fontId="8" fillId="0" borderId="11" xfId="2" quotePrefix="1" applyNumberFormat="1" applyFont="1" applyBorder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8" fillId="0" borderId="29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6" xfId="2" quotePrefix="1" applyNumberFormat="1" applyFont="1" applyBorder="1" applyAlignment="1">
      <alignment horizontal="left" vertical="center" wrapText="1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6" xfId="2" quotePrefix="1" applyNumberFormat="1" applyFont="1" applyBorder="1" applyAlignment="1">
      <alignment horizontal="center" vertical="center"/>
    </xf>
    <xf numFmtId="3" fontId="12" fillId="0" borderId="27" xfId="2" quotePrefix="1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8" fillId="0" borderId="6" xfId="2" quotePrefix="1" applyNumberFormat="1" applyFont="1" applyBorder="1" applyAlignment="1">
      <alignment horizontal="left" wrapText="1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applyNumberFormat="1" applyFont="1" applyAlignment="1">
      <alignment horizontal="center" vertical="center"/>
    </xf>
    <xf numFmtId="3" fontId="12" fillId="0" borderId="0" xfId="2" quotePrefix="1" applyNumberFormat="1" applyFont="1" applyAlignment="1">
      <alignment horizontal="left" vertical="center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3" fontId="9" fillId="5" borderId="4" xfId="0" applyNumberFormat="1" applyFont="1" applyFill="1" applyBorder="1" applyAlignment="1">
      <alignment vertical="center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zoomScaleNormal="100" workbookViewId="0">
      <selection sqref="A1:J1"/>
    </sheetView>
  </sheetViews>
  <sheetFormatPr defaultColWidth="8.85546875" defaultRowHeight="15.75" x14ac:dyDescent="0.25"/>
  <cols>
    <col min="1" max="4" width="8.85546875" style="204" customWidth="1"/>
    <col min="5" max="5" width="22.85546875" style="204" customWidth="1"/>
    <col min="6" max="8" width="15.28515625" style="204" customWidth="1"/>
    <col min="9" max="9" width="10.42578125" style="204" customWidth="1"/>
    <col min="10" max="10" width="10" style="204" customWidth="1"/>
    <col min="11" max="11" width="11.7109375" style="204" bestFit="1" customWidth="1"/>
    <col min="12" max="14" width="12.7109375" style="204" bestFit="1" customWidth="1"/>
    <col min="15" max="15" width="8.85546875" style="204" customWidth="1"/>
    <col min="16" max="16384" width="8.85546875" style="204"/>
  </cols>
  <sheetData>
    <row r="1" spans="1:14" ht="40.5" customHeight="1" x14ac:dyDescent="0.25">
      <c r="A1" s="412" t="s">
        <v>293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4" ht="24" customHeight="1" x14ac:dyDescent="0.25">
      <c r="A2" s="413" t="s">
        <v>28</v>
      </c>
      <c r="B2" s="413"/>
      <c r="C2" s="413"/>
      <c r="D2" s="413"/>
      <c r="E2" s="413"/>
      <c r="F2" s="413"/>
      <c r="G2" s="413"/>
      <c r="H2" s="413"/>
      <c r="I2" s="413"/>
      <c r="J2" s="413"/>
    </row>
    <row r="3" spans="1:14" ht="47.25" x14ac:dyDescent="0.25">
      <c r="A3" s="421" t="s">
        <v>0</v>
      </c>
      <c r="B3" s="421"/>
      <c r="C3" s="421"/>
      <c r="D3" s="421"/>
      <c r="E3" s="421"/>
      <c r="F3" s="206" t="s">
        <v>182</v>
      </c>
      <c r="G3" s="206" t="s">
        <v>183</v>
      </c>
      <c r="H3" s="206" t="s">
        <v>184</v>
      </c>
      <c r="I3" s="264" t="s">
        <v>195</v>
      </c>
      <c r="J3" s="264" t="s">
        <v>195</v>
      </c>
    </row>
    <row r="4" spans="1:14" x14ac:dyDescent="0.25">
      <c r="A4" s="409">
        <v>1</v>
      </c>
      <c r="B4" s="410"/>
      <c r="C4" s="410"/>
      <c r="D4" s="410"/>
      <c r="E4" s="411"/>
      <c r="F4" s="265">
        <v>2</v>
      </c>
      <c r="G4" s="265">
        <v>3</v>
      </c>
      <c r="H4" s="265">
        <v>4</v>
      </c>
      <c r="I4" s="265" t="s">
        <v>213</v>
      </c>
      <c r="J4" s="230" t="s">
        <v>212</v>
      </c>
    </row>
    <row r="5" spans="1:14" ht="28.15" customHeight="1" x14ac:dyDescent="0.25">
      <c r="A5" s="422" t="s">
        <v>2</v>
      </c>
      <c r="B5" s="423"/>
      <c r="C5" s="423"/>
      <c r="D5" s="423"/>
      <c r="E5" s="424"/>
      <c r="F5" s="207">
        <f t="shared" ref="F5:H5" si="0">SUM(F6:F7)</f>
        <v>399577.04</v>
      </c>
      <c r="G5" s="207">
        <f t="shared" si="0"/>
        <v>415953.11000000004</v>
      </c>
      <c r="H5" s="396">
        <f t="shared" si="0"/>
        <v>419214.33000000007</v>
      </c>
      <c r="I5" s="402">
        <f>H5/F5*100</f>
        <v>104.91451911250959</v>
      </c>
      <c r="J5" s="402">
        <f>H5/G5*100</f>
        <v>100.78403548900019</v>
      </c>
    </row>
    <row r="6" spans="1:14" ht="28.15" customHeight="1" x14ac:dyDescent="0.25">
      <c r="A6" s="425" t="s">
        <v>3</v>
      </c>
      <c r="B6" s="425"/>
      <c r="C6" s="425"/>
      <c r="D6" s="425"/>
      <c r="E6" s="425"/>
      <c r="F6" s="209">
        <f>'RAČUN PRIHODA I RASHODA'!E5</f>
        <v>399577.04</v>
      </c>
      <c r="G6" s="209">
        <f>'RAČUN PRIHODA I RASHODA'!F5</f>
        <v>415953.11000000004</v>
      </c>
      <c r="H6" s="397">
        <f>'RAČUN PRIHODA I RASHODA'!G5</f>
        <v>419214.33000000007</v>
      </c>
      <c r="I6" s="403">
        <f t="shared" ref="I6:I10" si="1">H6/F6*100</f>
        <v>104.91451911250959</v>
      </c>
      <c r="J6" s="403">
        <f t="shared" ref="J6:J9" si="2">H6/G6*100</f>
        <v>100.78403548900019</v>
      </c>
      <c r="K6" s="210"/>
      <c r="L6" s="210"/>
      <c r="M6" s="210"/>
    </row>
    <row r="7" spans="1:14" ht="28.15" customHeight="1" x14ac:dyDescent="0.25">
      <c r="A7" s="428" t="s">
        <v>4</v>
      </c>
      <c r="B7" s="428"/>
      <c r="C7" s="428"/>
      <c r="D7" s="428"/>
      <c r="E7" s="428"/>
      <c r="F7" s="211"/>
      <c r="G7" s="211"/>
      <c r="H7" s="398"/>
      <c r="I7" s="401"/>
      <c r="J7" s="401"/>
    </row>
    <row r="8" spans="1:14" ht="28.15" customHeight="1" x14ac:dyDescent="0.25">
      <c r="A8" s="429" t="s">
        <v>5</v>
      </c>
      <c r="B8" s="429"/>
      <c r="C8" s="429"/>
      <c r="D8" s="429"/>
      <c r="E8" s="429"/>
      <c r="F8" s="212">
        <f>SUM(F9:F10)</f>
        <v>379594.37999999995</v>
      </c>
      <c r="G8" s="212">
        <f>SUM(G9:G10)</f>
        <v>429827.05000000005</v>
      </c>
      <c r="H8" s="399">
        <f>SUM(H9:H10)</f>
        <v>408890.85000000003</v>
      </c>
      <c r="I8" s="402">
        <f t="shared" si="1"/>
        <v>107.71783554856636</v>
      </c>
      <c r="J8" s="402">
        <f t="shared" si="2"/>
        <v>95.12915718077771</v>
      </c>
    </row>
    <row r="9" spans="1:14" ht="28.15" customHeight="1" x14ac:dyDescent="0.25">
      <c r="A9" s="425" t="s">
        <v>6</v>
      </c>
      <c r="B9" s="425"/>
      <c r="C9" s="425"/>
      <c r="D9" s="425"/>
      <c r="E9" s="425"/>
      <c r="F9" s="209">
        <f>'RAČUN PRIHODA I RASHODA'!E44</f>
        <v>371446.77999999997</v>
      </c>
      <c r="G9" s="209">
        <f>'RAČUN PRIHODA I RASHODA'!F44</f>
        <v>420225.48000000004</v>
      </c>
      <c r="H9" s="397">
        <f>'RAČUN PRIHODA I RASHODA'!G44</f>
        <v>399331.22000000003</v>
      </c>
      <c r="I9" s="401">
        <f t="shared" si="1"/>
        <v>107.50698121545166</v>
      </c>
      <c r="J9" s="401">
        <f t="shared" si="2"/>
        <v>95.027845527120348</v>
      </c>
      <c r="K9" s="210"/>
      <c r="L9" s="208"/>
      <c r="M9" s="208"/>
      <c r="N9" s="208"/>
    </row>
    <row r="10" spans="1:14" ht="28.15" customHeight="1" x14ac:dyDescent="0.25">
      <c r="A10" s="428" t="s">
        <v>7</v>
      </c>
      <c r="B10" s="428"/>
      <c r="C10" s="428"/>
      <c r="D10" s="428"/>
      <c r="E10" s="428"/>
      <c r="F10" s="211">
        <f>'RAČUN PRIHODA I RASHODA'!E126</f>
        <v>8147.6</v>
      </c>
      <c r="G10" s="211">
        <f>'RAČUN PRIHODA I RASHODA'!F126</f>
        <v>9601.5700000000015</v>
      </c>
      <c r="H10" s="398">
        <f>'RAČUN PRIHODA I RASHODA'!G126</f>
        <v>9559.630000000001</v>
      </c>
      <c r="I10" s="401">
        <f t="shared" si="1"/>
        <v>117.33062496931612</v>
      </c>
      <c r="J10" s="401">
        <f>H10/G10*100</f>
        <v>99.563196435582924</v>
      </c>
      <c r="L10" s="208"/>
      <c r="M10" s="208"/>
      <c r="N10" s="208"/>
    </row>
    <row r="11" spans="1:14" ht="28.15" customHeight="1" x14ac:dyDescent="0.25">
      <c r="A11" s="430" t="s">
        <v>302</v>
      </c>
      <c r="B11" s="430"/>
      <c r="C11" s="430"/>
      <c r="D11" s="430"/>
      <c r="E11" s="430"/>
      <c r="F11" s="213">
        <f>SUM(F5-F8)</f>
        <v>19982.660000000033</v>
      </c>
      <c r="G11" s="213">
        <f>SUM(G5-G8)</f>
        <v>-13873.940000000002</v>
      </c>
      <c r="H11" s="400">
        <f>SUM(H5-H8)</f>
        <v>10323.48000000004</v>
      </c>
      <c r="I11" s="402">
        <f>SUM(H11/F11*100)</f>
        <v>51.662191119700893</v>
      </c>
      <c r="J11" s="402">
        <f>SUM((H11+(G11*-1))/G11*(-1) *100)</f>
        <v>174.40914404992409</v>
      </c>
      <c r="L11" s="208"/>
      <c r="M11" s="208"/>
      <c r="N11" s="208"/>
    </row>
    <row r="12" spans="1:14" x14ac:dyDescent="0.25">
      <c r="A12" s="205"/>
      <c r="B12" s="205"/>
      <c r="C12" s="205"/>
      <c r="D12" s="205"/>
      <c r="E12" s="205"/>
      <c r="F12" s="205"/>
      <c r="G12" s="205"/>
      <c r="H12" s="205"/>
      <c r="I12" s="203"/>
      <c r="J12" s="203"/>
      <c r="K12" s="203"/>
      <c r="L12" s="203"/>
      <c r="M12" s="203"/>
      <c r="N12" s="208"/>
    </row>
    <row r="13" spans="1:14" ht="21.75" customHeight="1" x14ac:dyDescent="0.25">
      <c r="A13" s="413" t="s">
        <v>29</v>
      </c>
      <c r="B13" s="413"/>
      <c r="C13" s="413"/>
      <c r="D13" s="413"/>
      <c r="E13" s="413"/>
      <c r="F13" s="413"/>
      <c r="G13" s="413"/>
      <c r="H13" s="413"/>
      <c r="I13" s="413"/>
      <c r="J13" s="413"/>
      <c r="K13" s="203"/>
      <c r="L13" s="203"/>
      <c r="M13" s="203"/>
      <c r="N13" s="208"/>
    </row>
    <row r="14" spans="1:14" ht="47.25" x14ac:dyDescent="0.25">
      <c r="A14" s="426" t="s">
        <v>8</v>
      </c>
      <c r="B14" s="427"/>
      <c r="C14" s="427"/>
      <c r="D14" s="427"/>
      <c r="E14" s="427"/>
      <c r="F14" s="206" t="s">
        <v>182</v>
      </c>
      <c r="G14" s="206" t="s">
        <v>183</v>
      </c>
      <c r="H14" s="206" t="s">
        <v>184</v>
      </c>
      <c r="I14" s="264" t="s">
        <v>195</v>
      </c>
      <c r="J14" s="264" t="s">
        <v>195</v>
      </c>
    </row>
    <row r="15" spans="1:14" x14ac:dyDescent="0.25">
      <c r="A15" s="409">
        <v>1</v>
      </c>
      <c r="B15" s="410"/>
      <c r="C15" s="410"/>
      <c r="D15" s="410"/>
      <c r="E15" s="411"/>
      <c r="F15" s="265">
        <v>2</v>
      </c>
      <c r="G15" s="265">
        <v>3</v>
      </c>
      <c r="H15" s="265">
        <v>4</v>
      </c>
      <c r="I15" s="265" t="s">
        <v>213</v>
      </c>
      <c r="J15" s="230" t="s">
        <v>212</v>
      </c>
    </row>
    <row r="16" spans="1:14" ht="15.75" customHeight="1" x14ac:dyDescent="0.25">
      <c r="A16" s="414" t="s">
        <v>9</v>
      </c>
      <c r="B16" s="415"/>
      <c r="C16" s="415"/>
      <c r="D16" s="415"/>
      <c r="E16" s="416"/>
      <c r="F16" s="369"/>
      <c r="G16" s="369"/>
      <c r="H16" s="404"/>
      <c r="I16" s="405"/>
      <c r="J16" s="405"/>
    </row>
    <row r="17" spans="1:10" ht="15.75" customHeight="1" x14ac:dyDescent="0.25">
      <c r="A17" s="414" t="s">
        <v>10</v>
      </c>
      <c r="B17" s="417"/>
      <c r="C17" s="417"/>
      <c r="D17" s="417"/>
      <c r="E17" s="417"/>
      <c r="F17" s="369"/>
      <c r="G17" s="369"/>
      <c r="H17" s="404"/>
      <c r="I17" s="405"/>
      <c r="J17" s="405"/>
    </row>
    <row r="18" spans="1:10" ht="15.75" customHeight="1" x14ac:dyDescent="0.25">
      <c r="A18" s="414" t="s">
        <v>300</v>
      </c>
      <c r="B18" s="417"/>
      <c r="C18" s="417"/>
      <c r="D18" s="417"/>
      <c r="E18" s="417"/>
      <c r="F18" s="369"/>
      <c r="G18" s="369"/>
      <c r="H18" s="404"/>
      <c r="I18" s="405"/>
      <c r="J18" s="405"/>
    </row>
    <row r="19" spans="1:10" ht="15.75" customHeight="1" x14ac:dyDescent="0.25">
      <c r="A19" s="414"/>
      <c r="B19" s="417"/>
      <c r="C19" s="417"/>
      <c r="D19" s="417"/>
      <c r="E19" s="417"/>
      <c r="F19" s="369">
        <f>F11+F18</f>
        <v>19982.660000000033</v>
      </c>
      <c r="G19" s="369">
        <f>G11+G18</f>
        <v>-13873.940000000002</v>
      </c>
      <c r="H19" s="404">
        <f>H11+H18</f>
        <v>10323.48000000004</v>
      </c>
      <c r="I19" s="405"/>
      <c r="J19" s="405"/>
    </row>
    <row r="20" spans="1:10" ht="9.75" customHeight="1" x14ac:dyDescent="0.25">
      <c r="A20" s="368"/>
      <c r="B20" s="368"/>
      <c r="C20" s="368"/>
      <c r="D20" s="368"/>
      <c r="E20" s="368"/>
      <c r="F20" s="372"/>
      <c r="G20" s="372"/>
      <c r="H20" s="372"/>
    </row>
    <row r="21" spans="1:10" ht="15.75" customHeight="1" x14ac:dyDescent="0.25">
      <c r="A21" s="418" t="s">
        <v>240</v>
      </c>
      <c r="B21" s="419"/>
      <c r="C21" s="419"/>
      <c r="D21" s="419"/>
      <c r="E21" s="420"/>
      <c r="F21" s="370">
        <f>'Račun financiranja'!E20</f>
        <v>3094.2690291326567</v>
      </c>
      <c r="G21" s="370">
        <f>'Račun financiranja'!F20</f>
        <v>23077.35</v>
      </c>
      <c r="H21" s="370">
        <f>'Račun financiranja'!G20</f>
        <v>23077.35</v>
      </c>
      <c r="I21" s="403">
        <f t="shared" ref="I21" si="3">H21/F21*100</f>
        <v>745.80942325072249</v>
      </c>
      <c r="J21" s="403">
        <f>H21/G21*100</f>
        <v>100</v>
      </c>
    </row>
    <row r="22" spans="1:10" ht="28.5" customHeight="1" x14ac:dyDescent="0.25">
      <c r="A22" s="418" t="s">
        <v>301</v>
      </c>
      <c r="B22" s="419"/>
      <c r="C22" s="419"/>
      <c r="D22" s="419"/>
      <c r="E22" s="420"/>
      <c r="F22" s="370">
        <v>0</v>
      </c>
      <c r="G22" s="370">
        <v>13874</v>
      </c>
      <c r="H22" s="370">
        <v>0</v>
      </c>
      <c r="I22" s="403"/>
      <c r="J22" s="403"/>
    </row>
    <row r="23" spans="1:10" ht="15.75" customHeight="1" x14ac:dyDescent="0.25">
      <c r="A23" s="418" t="s">
        <v>241</v>
      </c>
      <c r="B23" s="419"/>
      <c r="C23" s="419"/>
      <c r="D23" s="419"/>
      <c r="E23" s="420"/>
      <c r="F23" s="371">
        <f>F19+F21+F22</f>
        <v>23076.929029132691</v>
      </c>
      <c r="G23" s="371">
        <f>G19+G21+G22</f>
        <v>23077.409999999996</v>
      </c>
      <c r="H23" s="371">
        <f>H19+H21+H22</f>
        <v>33400.830000000038</v>
      </c>
      <c r="I23" s="406">
        <f>H23/F23*100</f>
        <v>144.73689266814614</v>
      </c>
      <c r="J23" s="406">
        <f>H23/G23*100</f>
        <v>144.73387611521414</v>
      </c>
    </row>
  </sheetData>
  <mergeCells count="21">
    <mergeCell ref="A17:E17"/>
    <mergeCell ref="A23:E23"/>
    <mergeCell ref="A21:E21"/>
    <mergeCell ref="A18:E18"/>
    <mergeCell ref="A19:E19"/>
    <mergeCell ref="A22:E22"/>
    <mergeCell ref="A15:E15"/>
    <mergeCell ref="A1:J1"/>
    <mergeCell ref="A2:J2"/>
    <mergeCell ref="A13:J13"/>
    <mergeCell ref="A16:E16"/>
    <mergeCell ref="A3:E3"/>
    <mergeCell ref="A5:E5"/>
    <mergeCell ref="A6:E6"/>
    <mergeCell ref="A4:E4"/>
    <mergeCell ref="A14:E14"/>
    <mergeCell ref="A7:E7"/>
    <mergeCell ref="A8:E8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4"/>
  <sheetViews>
    <sheetView tabSelected="1" zoomScaleNormal="100" workbookViewId="0">
      <selection sqref="A1:I1"/>
    </sheetView>
  </sheetViews>
  <sheetFormatPr defaultColWidth="9.140625" defaultRowHeight="15" x14ac:dyDescent="0.2"/>
  <cols>
    <col min="1" max="1" width="7" style="274" bestFit="1" customWidth="1"/>
    <col min="2" max="2" width="8.42578125" style="274" customWidth="1"/>
    <col min="3" max="3" width="5.28515625" style="274" bestFit="1" customWidth="1"/>
    <col min="4" max="4" width="40.42578125" style="274" customWidth="1"/>
    <col min="5" max="5" width="12.5703125" style="291" customWidth="1"/>
    <col min="6" max="7" width="12.5703125" style="274" customWidth="1"/>
    <col min="8" max="9" width="8.85546875" style="274" bestFit="1" customWidth="1"/>
    <col min="10" max="14" width="15.140625" style="274" customWidth="1"/>
    <col min="15" max="15" width="16.7109375" style="274" hidden="1" customWidth="1"/>
    <col min="16" max="16" width="16.42578125" style="274" hidden="1" customWidth="1"/>
    <col min="17" max="17" width="12.5703125" style="274" hidden="1" customWidth="1"/>
    <col min="18" max="19" width="10.7109375" style="274" bestFit="1" customWidth="1"/>
    <col min="20" max="20" width="10.28515625" style="274" bestFit="1" customWidth="1"/>
    <col min="21" max="21" width="11.85546875" style="274" bestFit="1" customWidth="1"/>
    <col min="22" max="22" width="15.42578125" style="274" customWidth="1"/>
    <col min="23" max="23" width="9.140625" style="274" customWidth="1"/>
    <col min="24" max="16384" width="9.140625" style="274"/>
  </cols>
  <sheetData>
    <row r="1" spans="1:17" ht="31.5" customHeight="1" x14ac:dyDescent="0.2">
      <c r="A1" s="431" t="s">
        <v>293</v>
      </c>
      <c r="B1" s="431"/>
      <c r="C1" s="431"/>
      <c r="D1" s="431"/>
      <c r="E1" s="431"/>
      <c r="F1" s="431"/>
      <c r="G1" s="431"/>
      <c r="H1" s="431"/>
      <c r="I1" s="431"/>
      <c r="J1" s="299"/>
    </row>
    <row r="2" spans="1:17" ht="43.5" customHeight="1" x14ac:dyDescent="0.2">
      <c r="A2" s="437" t="s">
        <v>261</v>
      </c>
      <c r="B2" s="437"/>
      <c r="C2" s="437"/>
      <c r="D2" s="437"/>
      <c r="E2" s="437"/>
      <c r="F2" s="437"/>
      <c r="G2" s="437"/>
      <c r="H2" s="437"/>
      <c r="I2" s="437"/>
    </row>
    <row r="3" spans="1:17" s="275" customFormat="1" ht="60" x14ac:dyDescent="0.2">
      <c r="A3" s="264" t="s">
        <v>30</v>
      </c>
      <c r="B3" s="264" t="s">
        <v>214</v>
      </c>
      <c r="C3" s="264" t="s">
        <v>40</v>
      </c>
      <c r="D3" s="196" t="s">
        <v>11</v>
      </c>
      <c r="E3" s="264" t="s">
        <v>182</v>
      </c>
      <c r="F3" s="264" t="s">
        <v>183</v>
      </c>
      <c r="G3" s="264" t="s">
        <v>184</v>
      </c>
      <c r="H3" s="264" t="s">
        <v>195</v>
      </c>
      <c r="I3" s="264" t="s">
        <v>195</v>
      </c>
      <c r="J3" s="274"/>
      <c r="K3" s="274"/>
      <c r="L3" s="274"/>
      <c r="M3" s="274"/>
      <c r="N3" s="274"/>
      <c r="O3" s="274"/>
      <c r="P3" s="274"/>
      <c r="Q3" s="274"/>
    </row>
    <row r="4" spans="1:17" s="278" customFormat="1" x14ac:dyDescent="0.2">
      <c r="A4" s="433">
        <v>1</v>
      </c>
      <c r="B4" s="433"/>
      <c r="C4" s="433"/>
      <c r="D4" s="433"/>
      <c r="E4" s="265">
        <v>2</v>
      </c>
      <c r="F4" s="276">
        <v>3</v>
      </c>
      <c r="G4" s="276">
        <v>4</v>
      </c>
      <c r="H4" s="265" t="s">
        <v>213</v>
      </c>
      <c r="I4" s="230" t="s">
        <v>212</v>
      </c>
      <c r="J4" s="277"/>
      <c r="K4" s="277"/>
      <c r="L4" s="277"/>
      <c r="M4" s="277"/>
      <c r="N4" s="277"/>
      <c r="O4" s="277"/>
      <c r="P4" s="277"/>
      <c r="Q4" s="277"/>
    </row>
    <row r="5" spans="1:17" s="275" customFormat="1" x14ac:dyDescent="0.2">
      <c r="A5" s="264">
        <v>6</v>
      </c>
      <c r="B5" s="10"/>
      <c r="C5" s="264"/>
      <c r="D5" s="195" t="s">
        <v>45</v>
      </c>
      <c r="E5" s="10">
        <f>SUM(E14,E18,E25,E29,E34)</f>
        <v>399577.04</v>
      </c>
      <c r="F5" s="10">
        <f>SUM(F14,F18,F25,F29,F34)</f>
        <v>415953.11000000004</v>
      </c>
      <c r="G5" s="10">
        <f>SUM(G14,G18,G25,G29,G34)</f>
        <v>419214.33000000007</v>
      </c>
      <c r="H5" s="270">
        <f>SUM(G5/E5*100)</f>
        <v>104.91451911250959</v>
      </c>
      <c r="I5" s="270">
        <f>SUM(G5/F5*100)</f>
        <v>100.78403548900019</v>
      </c>
      <c r="J5" s="274"/>
      <c r="K5" s="274"/>
      <c r="L5" s="274"/>
      <c r="M5" s="274"/>
      <c r="N5" s="274"/>
      <c r="O5" s="274"/>
      <c r="P5" s="274"/>
      <c r="Q5" s="274"/>
    </row>
    <row r="6" spans="1:17" s="278" customFormat="1" ht="30" x14ac:dyDescent="0.2">
      <c r="A6" s="279"/>
      <c r="B6" s="13">
        <v>63</v>
      </c>
      <c r="C6" s="8"/>
      <c r="D6" s="250" t="s">
        <v>21</v>
      </c>
      <c r="E6" s="14">
        <f t="shared" ref="E6:F6" si="0">SUM(E7,E9)</f>
        <v>13238.640000000001</v>
      </c>
      <c r="F6" s="14">
        <f t="shared" si="0"/>
        <v>0</v>
      </c>
      <c r="G6" s="14">
        <f>SUM(G7,G9)</f>
        <v>15161.16</v>
      </c>
      <c r="H6" s="270">
        <f t="shared" ref="H6:H35" si="1">SUM(G6/E6*100)</f>
        <v>114.52203549609324</v>
      </c>
      <c r="I6" s="270"/>
      <c r="J6" s="277"/>
      <c r="K6" s="277"/>
      <c r="L6" s="277"/>
      <c r="M6" s="277"/>
      <c r="N6" s="277"/>
      <c r="O6" s="277"/>
      <c r="P6" s="277"/>
      <c r="Q6" s="277"/>
    </row>
    <row r="7" spans="1:17" s="275" customFormat="1" x14ac:dyDescent="0.2">
      <c r="A7" s="279"/>
      <c r="B7" s="13" t="s">
        <v>228</v>
      </c>
      <c r="C7" s="8"/>
      <c r="D7" s="250" t="s">
        <v>81</v>
      </c>
      <c r="E7" s="14">
        <f t="shared" ref="E7:F7" si="2">SUM(E8)</f>
        <v>11395.12</v>
      </c>
      <c r="F7" s="14">
        <f t="shared" si="2"/>
        <v>0</v>
      </c>
      <c r="G7" s="14">
        <f>SUM(G8)</f>
        <v>15161.16</v>
      </c>
      <c r="H7" s="270"/>
      <c r="I7" s="270"/>
      <c r="J7" s="274"/>
      <c r="K7" s="274"/>
      <c r="L7" s="277"/>
      <c r="M7" s="274"/>
      <c r="N7" s="274"/>
      <c r="O7" s="274"/>
      <c r="P7" s="274"/>
      <c r="Q7" s="274"/>
    </row>
    <row r="8" spans="1:17" s="275" customFormat="1" ht="30" x14ac:dyDescent="0.2">
      <c r="A8" s="280"/>
      <c r="B8" s="242" t="s">
        <v>221</v>
      </c>
      <c r="C8" s="280"/>
      <c r="D8" s="245" t="s">
        <v>220</v>
      </c>
      <c r="E8" s="2">
        <f>5697.56*2</f>
        <v>11395.12</v>
      </c>
      <c r="F8" s="2">
        <v>0</v>
      </c>
      <c r="G8" s="2">
        <v>15161.16</v>
      </c>
      <c r="H8" s="270"/>
      <c r="I8" s="270"/>
      <c r="J8" s="274"/>
      <c r="K8" s="274"/>
      <c r="L8" s="277"/>
      <c r="M8" s="274"/>
      <c r="N8" s="274"/>
      <c r="O8" s="274"/>
      <c r="P8" s="274"/>
      <c r="Q8" s="274"/>
    </row>
    <row r="9" spans="1:17" s="278" customFormat="1" ht="30" x14ac:dyDescent="0.2">
      <c r="A9" s="280"/>
      <c r="B9" s="13" t="s">
        <v>222</v>
      </c>
      <c r="C9" s="279"/>
      <c r="D9" s="250" t="s">
        <v>229</v>
      </c>
      <c r="E9" s="14">
        <f>SUM(E10)</f>
        <v>1843.52</v>
      </c>
      <c r="F9" s="14">
        <f t="shared" ref="F9:G9" si="3">SUM(F10)</f>
        <v>0</v>
      </c>
      <c r="G9" s="14">
        <f t="shared" si="3"/>
        <v>0</v>
      </c>
      <c r="H9" s="270"/>
      <c r="I9" s="270"/>
      <c r="J9" s="277"/>
      <c r="K9" s="277"/>
      <c r="M9" s="277"/>
      <c r="N9" s="277"/>
      <c r="O9" s="277"/>
      <c r="P9" s="277"/>
      <c r="Q9" s="277"/>
    </row>
    <row r="10" spans="1:17" s="278" customFormat="1" ht="30" x14ac:dyDescent="0.2">
      <c r="A10" s="280"/>
      <c r="B10" s="242" t="s">
        <v>223</v>
      </c>
      <c r="C10" s="280"/>
      <c r="D10" s="245" t="s">
        <v>224</v>
      </c>
      <c r="E10" s="2">
        <f>921.76*2</f>
        <v>1843.52</v>
      </c>
      <c r="F10" s="2"/>
      <c r="G10" s="2"/>
      <c r="H10" s="270"/>
      <c r="I10" s="270"/>
      <c r="J10" s="277"/>
      <c r="K10" s="277"/>
      <c r="L10" s="277"/>
      <c r="M10" s="277"/>
      <c r="N10" s="277"/>
      <c r="O10" s="277"/>
      <c r="P10" s="277"/>
      <c r="Q10" s="277"/>
    </row>
    <row r="11" spans="1:17" s="275" customFormat="1" x14ac:dyDescent="0.2">
      <c r="A11" s="279"/>
      <c r="B11" s="246">
        <v>64</v>
      </c>
      <c r="C11" s="257"/>
      <c r="D11" s="259" t="s">
        <v>69</v>
      </c>
      <c r="E11" s="14">
        <f t="shared" ref="E11:F12" si="4">E12</f>
        <v>0</v>
      </c>
      <c r="F11" s="14">
        <f t="shared" si="4"/>
        <v>0</v>
      </c>
      <c r="G11" s="14">
        <f>G12</f>
        <v>0</v>
      </c>
      <c r="H11" s="270"/>
      <c r="I11" s="270"/>
      <c r="J11" s="274"/>
      <c r="K11" s="274"/>
      <c r="L11" s="274"/>
      <c r="M11" s="274"/>
      <c r="N11" s="274"/>
      <c r="O11" s="274"/>
      <c r="P11" s="274"/>
      <c r="Q11" s="274"/>
    </row>
    <row r="12" spans="1:17" s="278" customFormat="1" x14ac:dyDescent="0.2">
      <c r="A12" s="279"/>
      <c r="B12" s="246">
        <v>641</v>
      </c>
      <c r="C12" s="257"/>
      <c r="D12" s="259" t="s">
        <v>70</v>
      </c>
      <c r="E12" s="14">
        <f t="shared" si="4"/>
        <v>0</v>
      </c>
      <c r="F12" s="14">
        <f t="shared" si="4"/>
        <v>0</v>
      </c>
      <c r="G12" s="14">
        <f>G13</f>
        <v>0</v>
      </c>
      <c r="H12" s="270"/>
      <c r="I12" s="270"/>
      <c r="J12" s="277"/>
      <c r="K12" s="277"/>
      <c r="L12" s="277"/>
      <c r="M12" s="277"/>
      <c r="N12" s="277"/>
      <c r="O12" s="277"/>
      <c r="P12" s="277"/>
      <c r="Q12" s="277"/>
    </row>
    <row r="13" spans="1:17" s="278" customFormat="1" x14ac:dyDescent="0.2">
      <c r="A13" s="280"/>
      <c r="B13" s="390">
        <v>64151</v>
      </c>
      <c r="C13" s="280"/>
      <c r="D13" s="245" t="s">
        <v>299</v>
      </c>
      <c r="E13" s="2"/>
      <c r="F13" s="2"/>
      <c r="G13" s="2">
        <v>0</v>
      </c>
      <c r="H13" s="270"/>
      <c r="I13" s="270"/>
      <c r="J13" s="277"/>
      <c r="K13" s="277"/>
      <c r="L13" s="277"/>
      <c r="M13" s="277"/>
      <c r="N13" s="277"/>
      <c r="O13" s="277"/>
      <c r="P13" s="277"/>
      <c r="Q13" s="277"/>
    </row>
    <row r="14" spans="1:17" s="275" customFormat="1" x14ac:dyDescent="0.2">
      <c r="A14" s="281"/>
      <c r="B14" s="292"/>
      <c r="C14" s="3">
        <v>52</v>
      </c>
      <c r="D14" s="293" t="s">
        <v>32</v>
      </c>
      <c r="E14" s="4">
        <f t="shared" ref="E14:F14" si="5">SUM(E6,E11)</f>
        <v>13238.640000000001</v>
      </c>
      <c r="F14" s="4">
        <f t="shared" si="5"/>
        <v>0</v>
      </c>
      <c r="G14" s="4">
        <f>SUM(G6,G11)</f>
        <v>15161.16</v>
      </c>
      <c r="H14" s="493">
        <f t="shared" si="1"/>
        <v>114.52203549609324</v>
      </c>
      <c r="I14" s="493"/>
      <c r="J14" s="274"/>
      <c r="K14" s="274"/>
      <c r="L14" s="274"/>
      <c r="M14" s="274"/>
      <c r="N14" s="274"/>
      <c r="O14" s="274"/>
      <c r="P14" s="274"/>
      <c r="Q14" s="274"/>
    </row>
    <row r="15" spans="1:17" s="275" customFormat="1" ht="45" x14ac:dyDescent="0.2">
      <c r="A15" s="279"/>
      <c r="B15" s="246">
        <v>65</v>
      </c>
      <c r="C15" s="257"/>
      <c r="D15" s="259" t="s">
        <v>20</v>
      </c>
      <c r="E15" s="14">
        <f t="shared" ref="E15:F15" si="6">SUM(E16)</f>
        <v>3172.14</v>
      </c>
      <c r="F15" s="14">
        <f t="shared" si="6"/>
        <v>2654.46</v>
      </c>
      <c r="G15" s="14">
        <f>SUM(G16)</f>
        <v>4131</v>
      </c>
      <c r="H15" s="270">
        <f t="shared" si="1"/>
        <v>130.22754355104124</v>
      </c>
      <c r="I15" s="270">
        <f t="shared" ref="I15:I35" si="7">SUM(G15/F15*100)</f>
        <v>155.62487285549602</v>
      </c>
      <c r="J15" s="274"/>
      <c r="K15" s="274"/>
      <c r="L15" s="274"/>
      <c r="M15" s="274"/>
      <c r="N15" s="274"/>
      <c r="O15" s="274"/>
      <c r="P15" s="274"/>
      <c r="Q15" s="274"/>
    </row>
    <row r="16" spans="1:17" s="278" customFormat="1" x14ac:dyDescent="0.2">
      <c r="A16" s="279"/>
      <c r="B16" s="246">
        <v>652</v>
      </c>
      <c r="C16" s="257"/>
      <c r="D16" s="259" t="s">
        <v>74</v>
      </c>
      <c r="E16" s="14">
        <f>SUM(E17)</f>
        <v>3172.14</v>
      </c>
      <c r="F16" s="14">
        <f t="shared" ref="F16:G16" si="8">SUM(F17)</f>
        <v>2654.46</v>
      </c>
      <c r="G16" s="14">
        <f t="shared" si="8"/>
        <v>4131</v>
      </c>
      <c r="H16" s="270"/>
      <c r="I16" s="270"/>
      <c r="J16" s="277"/>
      <c r="K16" s="277"/>
      <c r="L16" s="277"/>
      <c r="M16" s="277"/>
      <c r="N16" s="277"/>
      <c r="O16" s="277"/>
      <c r="P16" s="277"/>
      <c r="Q16" s="277"/>
    </row>
    <row r="17" spans="1:17" s="278" customFormat="1" x14ac:dyDescent="0.2">
      <c r="A17" s="280"/>
      <c r="B17" s="247">
        <v>6526</v>
      </c>
      <c r="C17" s="5"/>
      <c r="D17" s="6" t="s">
        <v>225</v>
      </c>
      <c r="E17" s="2">
        <f>1586.07*2</f>
        <v>3172.14</v>
      </c>
      <c r="F17" s="2">
        <v>2654.46</v>
      </c>
      <c r="G17" s="2">
        <v>4131</v>
      </c>
      <c r="H17" s="270"/>
      <c r="I17" s="270"/>
      <c r="J17" s="277"/>
      <c r="K17" s="277"/>
      <c r="L17" s="277"/>
      <c r="M17" s="277"/>
      <c r="N17" s="277"/>
      <c r="O17" s="277"/>
      <c r="P17" s="277"/>
      <c r="Q17" s="277"/>
    </row>
    <row r="18" spans="1:17" s="275" customFormat="1" x14ac:dyDescent="0.2">
      <c r="A18" s="281"/>
      <c r="B18" s="292"/>
      <c r="C18" s="3">
        <v>43</v>
      </c>
      <c r="D18" s="293" t="s">
        <v>273</v>
      </c>
      <c r="E18" s="4">
        <f>SUM(E15)</f>
        <v>3172.14</v>
      </c>
      <c r="F18" s="4">
        <f>SUM(F15)</f>
        <v>2654.46</v>
      </c>
      <c r="G18" s="4">
        <f>SUM(G15)</f>
        <v>4131</v>
      </c>
      <c r="H18" s="493">
        <f t="shared" si="1"/>
        <v>130.22754355104124</v>
      </c>
      <c r="I18" s="493">
        <f t="shared" si="7"/>
        <v>155.62487285549602</v>
      </c>
      <c r="J18" s="274"/>
      <c r="K18" s="274"/>
      <c r="L18" s="274"/>
      <c r="M18" s="274"/>
      <c r="N18" s="274"/>
      <c r="O18" s="274"/>
      <c r="P18" s="274"/>
      <c r="Q18" s="274"/>
    </row>
    <row r="19" spans="1:17" s="275" customFormat="1" x14ac:dyDescent="0.2">
      <c r="A19" s="279"/>
      <c r="B19" s="246">
        <v>64</v>
      </c>
      <c r="C19" s="257"/>
      <c r="D19" s="259" t="s">
        <v>69</v>
      </c>
      <c r="E19" s="14">
        <f t="shared" ref="E19:F19" si="9">E20</f>
        <v>0</v>
      </c>
      <c r="F19" s="14">
        <f t="shared" si="9"/>
        <v>0</v>
      </c>
      <c r="G19" s="14">
        <f>G20</f>
        <v>0.05</v>
      </c>
      <c r="H19" s="270"/>
      <c r="I19" s="270"/>
      <c r="J19" s="274"/>
      <c r="K19" s="274"/>
      <c r="L19" s="274"/>
      <c r="M19" s="274"/>
      <c r="N19" s="274"/>
      <c r="O19" s="274"/>
      <c r="P19" s="274"/>
      <c r="Q19" s="274"/>
    </row>
    <row r="20" spans="1:17" s="275" customFormat="1" x14ac:dyDescent="0.2">
      <c r="A20" s="279"/>
      <c r="B20" s="395">
        <v>641</v>
      </c>
      <c r="C20" s="8"/>
      <c r="D20" s="250" t="s">
        <v>70</v>
      </c>
      <c r="E20" s="10"/>
      <c r="F20" s="10"/>
      <c r="G20" s="10">
        <v>0.05</v>
      </c>
      <c r="H20" s="270"/>
      <c r="I20" s="270"/>
      <c r="J20" s="274"/>
      <c r="K20" s="274"/>
      <c r="L20" s="274"/>
      <c r="M20" s="274"/>
      <c r="N20" s="274"/>
      <c r="O20" s="274"/>
      <c r="P20" s="274"/>
      <c r="Q20" s="274"/>
    </row>
    <row r="21" spans="1:17" s="283" customFormat="1" x14ac:dyDescent="0.2">
      <c r="A21" s="280"/>
      <c r="B21" s="390">
        <v>64132</v>
      </c>
      <c r="C21" s="1"/>
      <c r="D21" s="245" t="s">
        <v>297</v>
      </c>
      <c r="E21" s="17"/>
      <c r="F21" s="17"/>
      <c r="G21" s="17">
        <v>0.05</v>
      </c>
      <c r="H21" s="270"/>
      <c r="I21" s="270"/>
      <c r="J21" s="282"/>
      <c r="K21" s="282"/>
      <c r="L21" s="282"/>
      <c r="M21" s="282"/>
      <c r="N21" s="282"/>
      <c r="O21" s="282"/>
      <c r="P21" s="282"/>
      <c r="Q21" s="282"/>
    </row>
    <row r="22" spans="1:17" s="275" customFormat="1" ht="30" x14ac:dyDescent="0.2">
      <c r="A22" s="279"/>
      <c r="B22" s="13">
        <v>66</v>
      </c>
      <c r="C22" s="8"/>
      <c r="D22" s="250" t="s">
        <v>16</v>
      </c>
      <c r="E22" s="10">
        <f>E23</f>
        <v>7996.2199999999993</v>
      </c>
      <c r="F22" s="10">
        <f t="shared" ref="F22:G22" si="10">F23</f>
        <v>4160</v>
      </c>
      <c r="G22" s="10">
        <f t="shared" si="10"/>
        <v>6255.75</v>
      </c>
      <c r="H22" s="270">
        <f t="shared" ref="H22" si="11">SUM(G22/E22*100)</f>
        <v>78.233840489631362</v>
      </c>
      <c r="I22" s="270">
        <f t="shared" ref="I22" si="12">SUM(G22/F22*100)</f>
        <v>150.37860576923077</v>
      </c>
      <c r="J22" s="274"/>
      <c r="K22" s="274"/>
      <c r="L22" s="274"/>
      <c r="M22" s="274"/>
      <c r="N22" s="274"/>
      <c r="O22" s="274"/>
      <c r="P22" s="274"/>
      <c r="Q22" s="274"/>
    </row>
    <row r="23" spans="1:17" s="275" customFormat="1" ht="30" x14ac:dyDescent="0.2">
      <c r="A23" s="279"/>
      <c r="B23" s="13">
        <v>661</v>
      </c>
      <c r="C23" s="8"/>
      <c r="D23" s="250" t="s">
        <v>16</v>
      </c>
      <c r="E23" s="10">
        <f t="shared" ref="E23:F23" si="13">SUM(E24)</f>
        <v>7996.2199999999993</v>
      </c>
      <c r="F23" s="10">
        <f t="shared" si="13"/>
        <v>4160</v>
      </c>
      <c r="G23" s="10">
        <f>SUM(G24)</f>
        <v>6255.75</v>
      </c>
      <c r="H23" s="270"/>
      <c r="I23" s="270"/>
      <c r="J23" s="274"/>
      <c r="K23" s="274"/>
      <c r="L23" s="274"/>
      <c r="M23" s="274"/>
      <c r="N23" s="274"/>
      <c r="O23" s="274"/>
      <c r="P23" s="274"/>
      <c r="Q23" s="274"/>
    </row>
    <row r="24" spans="1:17" s="283" customFormat="1" x14ac:dyDescent="0.2">
      <c r="A24" s="280"/>
      <c r="B24" s="390">
        <v>6615</v>
      </c>
      <c r="C24" s="1"/>
      <c r="D24" s="245" t="s">
        <v>226</v>
      </c>
      <c r="E24" s="17">
        <f>(3956.87+41.24)*2</f>
        <v>7996.2199999999993</v>
      </c>
      <c r="F24" s="17">
        <v>4160</v>
      </c>
      <c r="G24" s="17">
        <v>6255.75</v>
      </c>
      <c r="H24" s="270"/>
      <c r="I24" s="270"/>
      <c r="J24" s="282"/>
      <c r="K24" s="282"/>
      <c r="L24" s="282"/>
      <c r="M24" s="282"/>
      <c r="N24" s="282"/>
      <c r="O24" s="282"/>
      <c r="P24" s="282"/>
      <c r="Q24" s="282"/>
    </row>
    <row r="25" spans="1:17" s="296" customFormat="1" x14ac:dyDescent="0.2">
      <c r="A25" s="281"/>
      <c r="B25" s="292"/>
      <c r="C25" s="3" t="s">
        <v>35</v>
      </c>
      <c r="D25" s="293" t="s">
        <v>34</v>
      </c>
      <c r="E25" s="4">
        <f t="shared" ref="E25:F25" si="14">SUM(E19,E22)</f>
        <v>7996.2199999999993</v>
      </c>
      <c r="F25" s="4">
        <f t="shared" si="14"/>
        <v>4160</v>
      </c>
      <c r="G25" s="4">
        <f>SUM(G19,G22)</f>
        <v>6255.8</v>
      </c>
      <c r="H25" s="270">
        <f t="shared" si="1"/>
        <v>78.234465785083458</v>
      </c>
      <c r="I25" s="270">
        <f t="shared" si="7"/>
        <v>150.37980769230771</v>
      </c>
      <c r="J25" s="274"/>
      <c r="K25" s="274"/>
      <c r="L25" s="274"/>
      <c r="M25" s="274"/>
      <c r="N25" s="274"/>
      <c r="O25" s="274"/>
      <c r="P25" s="274"/>
      <c r="Q25" s="274"/>
    </row>
    <row r="26" spans="1:17" s="278" customFormat="1" ht="42" customHeight="1" x14ac:dyDescent="0.2">
      <c r="A26" s="279"/>
      <c r="B26" s="13" t="s">
        <v>298</v>
      </c>
      <c r="C26" s="8"/>
      <c r="D26" s="250" t="s">
        <v>16</v>
      </c>
      <c r="E26" s="14">
        <f>E27</f>
        <v>663.62</v>
      </c>
      <c r="F26" s="14">
        <f t="shared" ref="F26:G26" si="15">F27</f>
        <v>0</v>
      </c>
      <c r="G26" s="14">
        <f t="shared" si="15"/>
        <v>0</v>
      </c>
      <c r="H26" s="270"/>
      <c r="I26" s="270"/>
      <c r="J26" s="277"/>
      <c r="K26" s="277"/>
      <c r="L26" s="277"/>
      <c r="M26" s="277"/>
      <c r="N26" s="277"/>
      <c r="O26" s="277"/>
      <c r="P26" s="277"/>
      <c r="Q26" s="277"/>
    </row>
    <row r="27" spans="1:17" s="277" customFormat="1" ht="45" x14ac:dyDescent="0.2">
      <c r="A27" s="239"/>
      <c r="B27" s="295">
        <v>663</v>
      </c>
      <c r="C27" s="297"/>
      <c r="D27" s="298" t="s">
        <v>230</v>
      </c>
      <c r="E27" s="233">
        <f>SUM(E28)</f>
        <v>663.62</v>
      </c>
      <c r="F27" s="233">
        <f t="shared" ref="F27:G27" si="16">SUM(F28)</f>
        <v>0</v>
      </c>
      <c r="G27" s="233">
        <f t="shared" si="16"/>
        <v>0</v>
      </c>
      <c r="H27" s="270"/>
      <c r="I27" s="270"/>
    </row>
    <row r="28" spans="1:17" s="278" customFormat="1" ht="30.75" customHeight="1" x14ac:dyDescent="0.2">
      <c r="A28" s="284"/>
      <c r="B28" s="242">
        <v>6631</v>
      </c>
      <c r="C28" s="262"/>
      <c r="D28" s="294" t="s">
        <v>227</v>
      </c>
      <c r="E28" s="263">
        <f>331.81*2</f>
        <v>663.62</v>
      </c>
      <c r="F28" s="263">
        <v>0</v>
      </c>
      <c r="G28" s="263">
        <v>0</v>
      </c>
      <c r="H28" s="270"/>
      <c r="I28" s="270"/>
      <c r="J28" s="277"/>
      <c r="K28" s="277"/>
      <c r="L28" s="277"/>
      <c r="M28" s="277"/>
      <c r="N28" s="277"/>
      <c r="O28" s="277"/>
      <c r="P28" s="277"/>
      <c r="Q28" s="277"/>
    </row>
    <row r="29" spans="1:17" s="275" customFormat="1" x14ac:dyDescent="0.2">
      <c r="A29" s="281"/>
      <c r="B29" s="292"/>
      <c r="C29" s="3" t="s">
        <v>36</v>
      </c>
      <c r="D29" s="293" t="s">
        <v>37</v>
      </c>
      <c r="E29" s="4">
        <f>SUM(E28)</f>
        <v>663.62</v>
      </c>
      <c r="F29" s="4">
        <f t="shared" ref="F29:G29" si="17">SUM(F28)</f>
        <v>0</v>
      </c>
      <c r="G29" s="4">
        <f t="shared" si="17"/>
        <v>0</v>
      </c>
      <c r="H29" s="493">
        <f t="shared" si="1"/>
        <v>0</v>
      </c>
      <c r="I29" s="493"/>
      <c r="J29" s="274"/>
      <c r="K29" s="274"/>
      <c r="L29" s="274"/>
      <c r="M29" s="274"/>
      <c r="N29" s="274"/>
      <c r="O29" s="274"/>
      <c r="P29" s="274"/>
      <c r="Q29" s="274"/>
    </row>
    <row r="30" spans="1:17" s="278" customFormat="1" ht="42" customHeight="1" x14ac:dyDescent="0.2">
      <c r="A30" s="279"/>
      <c r="B30" s="13">
        <v>67</v>
      </c>
      <c r="C30" s="8"/>
      <c r="D30" s="250" t="s">
        <v>12</v>
      </c>
      <c r="E30" s="14">
        <f>SUM(E31)</f>
        <v>374506.42</v>
      </c>
      <c r="F30" s="14">
        <f t="shared" ref="F30" si="18">SUM(F31)</f>
        <v>409138.65</v>
      </c>
      <c r="G30" s="14">
        <f>SUM(G31)</f>
        <v>393666.37000000005</v>
      </c>
      <c r="H30" s="270">
        <f t="shared" si="1"/>
        <v>105.11605381824964</v>
      </c>
      <c r="I30" s="270">
        <f t="shared" si="7"/>
        <v>96.218328432183085</v>
      </c>
      <c r="J30" s="277"/>
      <c r="K30" s="277"/>
      <c r="L30" s="277"/>
      <c r="M30" s="277"/>
      <c r="N30" s="277"/>
      <c r="O30" s="277"/>
      <c r="P30" s="277"/>
      <c r="Q30" s="277"/>
    </row>
    <row r="31" spans="1:17" s="275" customFormat="1" ht="45" x14ac:dyDescent="0.2">
      <c r="A31" s="279"/>
      <c r="B31" s="13" t="s">
        <v>215</v>
      </c>
      <c r="C31" s="8"/>
      <c r="D31" s="250" t="s">
        <v>65</v>
      </c>
      <c r="E31" s="14">
        <f>SUM(E32:E33)</f>
        <v>374506.42</v>
      </c>
      <c r="F31" s="14">
        <f t="shared" ref="F31:G31" si="19">SUM(F32:F33)</f>
        <v>409138.65</v>
      </c>
      <c r="G31" s="14">
        <f t="shared" si="19"/>
        <v>393666.37000000005</v>
      </c>
      <c r="H31" s="270"/>
      <c r="I31" s="270"/>
      <c r="J31" s="274"/>
      <c r="K31" s="274"/>
      <c r="L31" s="274"/>
      <c r="M31" s="274"/>
      <c r="N31" s="274"/>
      <c r="O31" s="274"/>
      <c r="P31" s="274"/>
      <c r="Q31" s="274"/>
    </row>
    <row r="32" spans="1:17" s="278" customFormat="1" ht="30" x14ac:dyDescent="0.2">
      <c r="A32" s="280"/>
      <c r="B32" s="242" t="s">
        <v>216</v>
      </c>
      <c r="C32" s="1"/>
      <c r="D32" s="245" t="s">
        <v>217</v>
      </c>
      <c r="E32" s="2">
        <f>183504.44*2</f>
        <v>367008.88</v>
      </c>
      <c r="F32" s="2">
        <f>376698.14+23088.73</f>
        <v>399786.87</v>
      </c>
      <c r="G32" s="2">
        <v>384356.53</v>
      </c>
      <c r="H32" s="270"/>
      <c r="I32" s="270"/>
      <c r="J32" s="277"/>
      <c r="K32" s="277"/>
      <c r="L32" s="277"/>
      <c r="M32" s="277"/>
      <c r="N32" s="277"/>
      <c r="O32" s="277"/>
      <c r="P32" s="277"/>
      <c r="Q32" s="277"/>
    </row>
    <row r="33" spans="1:17" s="275" customFormat="1" ht="45" x14ac:dyDescent="0.2">
      <c r="A33" s="280"/>
      <c r="B33" s="242" t="s">
        <v>218</v>
      </c>
      <c r="C33" s="1"/>
      <c r="D33" s="245" t="s">
        <v>219</v>
      </c>
      <c r="E33" s="2">
        <f>3748.77*2</f>
        <v>7497.54</v>
      </c>
      <c r="F33" s="2">
        <v>9351.7800000000007</v>
      </c>
      <c r="G33" s="2">
        <v>9309.84</v>
      </c>
      <c r="H33" s="270"/>
      <c r="I33" s="270"/>
      <c r="J33" s="274"/>
      <c r="K33" s="274"/>
      <c r="L33" s="274"/>
      <c r="M33" s="274"/>
      <c r="N33" s="274"/>
      <c r="O33" s="274"/>
      <c r="P33" s="274"/>
      <c r="Q33" s="274"/>
    </row>
    <row r="34" spans="1:17" s="275" customFormat="1" x14ac:dyDescent="0.2">
      <c r="A34" s="281"/>
      <c r="B34" s="281"/>
      <c r="C34" s="3" t="s">
        <v>38</v>
      </c>
      <c r="D34" s="293" t="s">
        <v>39</v>
      </c>
      <c r="E34" s="4">
        <f>SUM(E30)</f>
        <v>374506.42</v>
      </c>
      <c r="F34" s="4">
        <f>SUM(F30)</f>
        <v>409138.65</v>
      </c>
      <c r="G34" s="4">
        <f>SUM(G30)</f>
        <v>393666.37000000005</v>
      </c>
      <c r="H34" s="493">
        <f t="shared" si="1"/>
        <v>105.11605381824964</v>
      </c>
      <c r="I34" s="493">
        <f t="shared" si="7"/>
        <v>96.218328432183085</v>
      </c>
      <c r="J34" s="274"/>
      <c r="K34" s="274"/>
      <c r="L34" s="274"/>
      <c r="M34" s="274"/>
      <c r="N34" s="274"/>
      <c r="O34" s="274"/>
      <c r="P34" s="274"/>
      <c r="Q34" s="274"/>
    </row>
    <row r="35" spans="1:17" s="275" customFormat="1" x14ac:dyDescent="0.2">
      <c r="A35" s="436" t="s">
        <v>57</v>
      </c>
      <c r="B35" s="436"/>
      <c r="C35" s="436"/>
      <c r="D35" s="436"/>
      <c r="E35" s="15">
        <f>SUM(E14,E18,E25,E29,E34)</f>
        <v>399577.04</v>
      </c>
      <c r="F35" s="15">
        <f>SUM(F14,F18,F25,F29,F34)</f>
        <v>415953.11000000004</v>
      </c>
      <c r="G35" s="15">
        <f>SUM(G14,G18,G25,G29,G34)</f>
        <v>419214.33000000007</v>
      </c>
      <c r="H35" s="270">
        <f t="shared" si="1"/>
        <v>104.91451911250959</v>
      </c>
      <c r="I35" s="270">
        <f t="shared" si="7"/>
        <v>100.78403548900019</v>
      </c>
      <c r="J35" s="274"/>
      <c r="K35" s="274"/>
      <c r="L35" s="274"/>
      <c r="M35" s="274"/>
      <c r="N35" s="274"/>
      <c r="O35" s="274"/>
      <c r="P35" s="274"/>
      <c r="Q35" s="274"/>
    </row>
    <row r="36" spans="1:17" s="275" customFormat="1" x14ac:dyDescent="0.2">
      <c r="A36" s="7"/>
      <c r="B36" s="7"/>
      <c r="C36" s="7"/>
      <c r="D36" s="7"/>
      <c r="E36" s="157"/>
      <c r="F36" s="157"/>
      <c r="G36" s="157"/>
      <c r="H36" s="274"/>
      <c r="I36" s="274"/>
      <c r="J36" s="274"/>
      <c r="K36" s="274"/>
      <c r="L36" s="274"/>
      <c r="M36" s="274"/>
      <c r="N36" s="274"/>
      <c r="O36" s="274"/>
      <c r="P36" s="274"/>
      <c r="Q36" s="274"/>
    </row>
    <row r="37" spans="1:17" s="278" customFormat="1" ht="15.75" customHeight="1" x14ac:dyDescent="0.2">
      <c r="A37" s="283"/>
      <c r="B37" s="7"/>
      <c r="C37" s="7"/>
      <c r="D37" s="7"/>
      <c r="E37" s="7"/>
      <c r="F37" s="7"/>
      <c r="G37" s="7"/>
      <c r="H37" s="274"/>
      <c r="I37" s="274"/>
      <c r="J37" s="277"/>
      <c r="K37" s="277"/>
      <c r="L37" s="277"/>
      <c r="M37" s="277"/>
      <c r="N37" s="277"/>
      <c r="O37" s="277"/>
      <c r="P37" s="277"/>
      <c r="Q37" s="277"/>
    </row>
    <row r="38" spans="1:17" s="278" customFormat="1" ht="15.75" customHeight="1" x14ac:dyDescent="0.2">
      <c r="A38" s="283"/>
      <c r="B38" s="7"/>
      <c r="C38" s="7"/>
      <c r="D38" s="7"/>
      <c r="E38" s="7"/>
      <c r="F38" s="7"/>
      <c r="G38" s="7"/>
      <c r="H38" s="274"/>
      <c r="I38" s="274"/>
      <c r="J38" s="277"/>
      <c r="K38" s="277"/>
      <c r="L38" s="277"/>
      <c r="M38" s="277"/>
      <c r="N38" s="277"/>
      <c r="O38" s="277"/>
      <c r="P38" s="277"/>
      <c r="Q38" s="277"/>
    </row>
    <row r="39" spans="1:17" s="278" customFormat="1" ht="15.75" customHeight="1" x14ac:dyDescent="0.2">
      <c r="A39" s="283"/>
      <c r="B39" s="7"/>
      <c r="C39" s="7"/>
      <c r="D39" s="7"/>
      <c r="E39" s="7"/>
      <c r="F39" s="7"/>
      <c r="G39" s="7"/>
      <c r="H39" s="274"/>
      <c r="I39" s="274"/>
      <c r="J39" s="277"/>
      <c r="K39" s="277"/>
      <c r="L39" s="277"/>
      <c r="M39" s="277"/>
      <c r="N39" s="277"/>
      <c r="O39" s="277"/>
      <c r="P39" s="277"/>
      <c r="Q39" s="277"/>
    </row>
    <row r="40" spans="1:17" s="278" customFormat="1" ht="15.75" customHeight="1" x14ac:dyDescent="0.2">
      <c r="A40" s="283"/>
      <c r="B40" s="7"/>
      <c r="C40" s="7"/>
      <c r="D40" s="7"/>
      <c r="E40" s="7"/>
      <c r="F40" s="7"/>
      <c r="G40" s="7"/>
      <c r="H40" s="274"/>
      <c r="I40" s="274"/>
      <c r="J40" s="277"/>
      <c r="K40" s="277"/>
      <c r="L40" s="277"/>
      <c r="M40" s="277"/>
      <c r="N40" s="277"/>
      <c r="O40" s="277"/>
      <c r="P40" s="277"/>
      <c r="Q40" s="277"/>
    </row>
    <row r="41" spans="1:17" s="275" customFormat="1" ht="15.75" x14ac:dyDescent="0.2">
      <c r="A41" s="434" t="s">
        <v>262</v>
      </c>
      <c r="B41" s="435"/>
      <c r="C41" s="435"/>
      <c r="D41" s="435"/>
      <c r="E41" s="435"/>
      <c r="F41" s="435"/>
      <c r="G41" s="435"/>
      <c r="H41" s="435"/>
      <c r="I41" s="435"/>
      <c r="J41" s="274"/>
      <c r="K41" s="274"/>
      <c r="L41" s="274"/>
      <c r="M41" s="274"/>
      <c r="N41" s="274"/>
      <c r="O41" s="274"/>
      <c r="P41" s="274"/>
      <c r="Q41" s="274"/>
    </row>
    <row r="42" spans="1:17" s="275" customFormat="1" ht="60" x14ac:dyDescent="0.2">
      <c r="A42" s="264" t="s">
        <v>30</v>
      </c>
      <c r="B42" s="264" t="s">
        <v>214</v>
      </c>
      <c r="C42" s="264" t="s">
        <v>40</v>
      </c>
      <c r="D42" s="196" t="s">
        <v>11</v>
      </c>
      <c r="E42" s="269" t="s">
        <v>182</v>
      </c>
      <c r="F42" s="269" t="s">
        <v>183</v>
      </c>
      <c r="G42" s="269" t="s">
        <v>184</v>
      </c>
      <c r="H42" s="264" t="s">
        <v>195</v>
      </c>
      <c r="I42" s="264" t="s">
        <v>195</v>
      </c>
      <c r="J42" s="274"/>
      <c r="K42" s="274"/>
      <c r="L42" s="274"/>
      <c r="M42" s="274"/>
      <c r="N42" s="274"/>
      <c r="O42" s="274"/>
      <c r="P42" s="274"/>
      <c r="Q42" s="274"/>
    </row>
    <row r="43" spans="1:17" s="275" customFormat="1" x14ac:dyDescent="0.2">
      <c r="A43" s="433">
        <v>1</v>
      </c>
      <c r="B43" s="433"/>
      <c r="C43" s="433"/>
      <c r="D43" s="433"/>
      <c r="E43" s="265">
        <v>2</v>
      </c>
      <c r="F43" s="276">
        <v>3</v>
      </c>
      <c r="G43" s="276">
        <v>4</v>
      </c>
      <c r="H43" s="265" t="s">
        <v>213</v>
      </c>
      <c r="I43" s="230" t="s">
        <v>212</v>
      </c>
      <c r="J43" s="274"/>
      <c r="K43" s="274"/>
      <c r="L43" s="274"/>
      <c r="M43" s="274"/>
      <c r="N43" s="274"/>
      <c r="O43" s="274"/>
      <c r="P43" s="274"/>
      <c r="Q43" s="274"/>
    </row>
    <row r="44" spans="1:17" s="275" customFormat="1" x14ac:dyDescent="0.2">
      <c r="A44" s="266">
        <v>3</v>
      </c>
      <c r="B44" s="266"/>
      <c r="C44" s="267"/>
      <c r="D44" s="268" t="s">
        <v>43</v>
      </c>
      <c r="E44" s="16">
        <f>SUM(E84,E96,E105,E120,E125)</f>
        <v>371446.77999999997</v>
      </c>
      <c r="F44" s="16">
        <f>SUM(F84,F96,F105,F120,F125)</f>
        <v>420225.48000000004</v>
      </c>
      <c r="G44" s="16">
        <f>SUM(G84,G96,G105,G120,G125)</f>
        <v>399331.22000000003</v>
      </c>
      <c r="H44" s="237">
        <f t="shared" ref="H44:H113" si="20">SUM(G44/E44*100)</f>
        <v>107.50698121545166</v>
      </c>
      <c r="I44" s="237">
        <f t="shared" ref="I44:I120" si="21">SUM(G44/F44*100)</f>
        <v>95.027845527120348</v>
      </c>
      <c r="J44" s="274"/>
      <c r="K44" s="274"/>
      <c r="L44" s="274"/>
      <c r="M44" s="274"/>
      <c r="N44" s="274"/>
      <c r="O44" s="274"/>
      <c r="P44" s="274"/>
      <c r="Q44" s="274"/>
    </row>
    <row r="45" spans="1:17" s="278" customFormat="1" x14ac:dyDescent="0.2">
      <c r="A45" s="240"/>
      <c r="B45" s="234">
        <v>31</v>
      </c>
      <c r="C45" s="240"/>
      <c r="D45" s="11" t="s">
        <v>13</v>
      </c>
      <c r="E45" s="12">
        <f>SUM(E46,E49,E51)</f>
        <v>262738.30000000005</v>
      </c>
      <c r="F45" s="12">
        <f>SUM(F46,F49,F51)</f>
        <v>295376.23</v>
      </c>
      <c r="G45" s="12">
        <f>SUM(G46,G49,G51)</f>
        <v>285181.97000000003</v>
      </c>
      <c r="H45" s="248">
        <f t="shared" si="20"/>
        <v>108.54221481984163</v>
      </c>
      <c r="I45" s="248">
        <f t="shared" si="21"/>
        <v>96.54872025416536</v>
      </c>
      <c r="J45" s="277"/>
      <c r="K45" s="277"/>
      <c r="L45" s="277"/>
      <c r="M45" s="277"/>
      <c r="N45" s="277"/>
      <c r="O45" s="277"/>
      <c r="P45" s="277"/>
      <c r="Q45" s="277"/>
    </row>
    <row r="46" spans="1:17" s="286" customFormat="1" x14ac:dyDescent="0.2">
      <c r="A46" s="239"/>
      <c r="B46" s="235">
        <v>311</v>
      </c>
      <c r="C46" s="241"/>
      <c r="D46" s="239" t="s">
        <v>105</v>
      </c>
      <c r="E46" s="233">
        <f t="shared" ref="E46:F46" si="22">SUM(E47:E48)</f>
        <v>217783.40000000002</v>
      </c>
      <c r="F46" s="233">
        <f t="shared" si="22"/>
        <v>243860.43</v>
      </c>
      <c r="G46" s="233">
        <f>SUM(G47:G48)</f>
        <v>235331.07</v>
      </c>
      <c r="H46" s="237">
        <f t="shared" si="20"/>
        <v>108.05739555907383</v>
      </c>
      <c r="I46" s="237"/>
      <c r="J46" s="285"/>
      <c r="K46" s="285"/>
      <c r="L46" s="285"/>
      <c r="M46" s="285"/>
      <c r="N46" s="285"/>
      <c r="O46" s="285"/>
      <c r="P46" s="285"/>
      <c r="Q46" s="285"/>
    </row>
    <row r="47" spans="1:17" s="286" customFormat="1" x14ac:dyDescent="0.2">
      <c r="A47" s="241"/>
      <c r="B47" s="236">
        <v>3111</v>
      </c>
      <c r="C47" s="241"/>
      <c r="D47" s="241" t="s">
        <v>185</v>
      </c>
      <c r="E47" s="237">
        <f>108669.88*2</f>
        <v>217339.76</v>
      </c>
      <c r="F47" s="237">
        <f>SUM(POSEBNI_DIO_!C12)</f>
        <v>243293.44</v>
      </c>
      <c r="G47" s="237">
        <f>SUM(POSEBNI_DIO_!D12)</f>
        <v>234891.91</v>
      </c>
      <c r="H47" s="233">
        <f>SUM(G47/E47*100)</f>
        <v>108.07590382910148</v>
      </c>
      <c r="I47" s="233"/>
      <c r="J47" s="285"/>
      <c r="K47" s="285"/>
      <c r="L47" s="285"/>
      <c r="M47" s="285"/>
      <c r="N47" s="285"/>
      <c r="O47" s="285"/>
      <c r="P47" s="285"/>
      <c r="Q47" s="285"/>
    </row>
    <row r="48" spans="1:17" s="286" customFormat="1" x14ac:dyDescent="0.2">
      <c r="A48" s="241"/>
      <c r="B48" s="236">
        <v>3114</v>
      </c>
      <c r="C48" s="241"/>
      <c r="D48" s="241" t="s">
        <v>270</v>
      </c>
      <c r="E48" s="237">
        <f>221.82*2</f>
        <v>443.64</v>
      </c>
      <c r="F48" s="237">
        <f>SUM(POSEBNI_DIO_!C13)</f>
        <v>566.99</v>
      </c>
      <c r="G48" s="237">
        <f>SUM(POSEBNI_DIO_!D13)</f>
        <v>439.16</v>
      </c>
      <c r="H48" s="233">
        <f>SUM(G48/E48*100)</f>
        <v>98.990172211703182</v>
      </c>
      <c r="I48" s="233"/>
      <c r="J48" s="285"/>
      <c r="K48" s="285"/>
      <c r="L48" s="285"/>
      <c r="M48" s="285"/>
      <c r="N48" s="285"/>
      <c r="O48" s="285"/>
      <c r="P48" s="285"/>
      <c r="Q48" s="285"/>
    </row>
    <row r="49" spans="1:17" s="286" customFormat="1" x14ac:dyDescent="0.2">
      <c r="A49" s="239"/>
      <c r="B49" s="235">
        <v>312</v>
      </c>
      <c r="C49" s="241"/>
      <c r="D49" s="239" t="s">
        <v>271</v>
      </c>
      <c r="E49" s="233">
        <f>SUM(E50)</f>
        <v>8981</v>
      </c>
      <c r="F49" s="233">
        <f>SUM(F50)</f>
        <v>11378.71</v>
      </c>
      <c r="G49" s="233">
        <f>SUM(G50)</f>
        <v>11060.6</v>
      </c>
      <c r="H49" s="233">
        <f t="shared" ref="H49:H50" si="23">SUM(G49/E49*100)</f>
        <v>123.15555060683666</v>
      </c>
      <c r="I49" s="237"/>
      <c r="J49" s="285"/>
      <c r="K49" s="285"/>
      <c r="L49" s="285"/>
      <c r="M49" s="285"/>
      <c r="N49" s="285"/>
      <c r="O49" s="285"/>
      <c r="P49" s="285"/>
      <c r="Q49" s="285"/>
    </row>
    <row r="50" spans="1:17" s="286" customFormat="1" x14ac:dyDescent="0.2">
      <c r="A50" s="241"/>
      <c r="B50" s="236">
        <v>3121</v>
      </c>
      <c r="C50" s="241"/>
      <c r="D50" s="241" t="s">
        <v>271</v>
      </c>
      <c r="E50" s="237">
        <f>4490.5*2</f>
        <v>8981</v>
      </c>
      <c r="F50" s="237">
        <f>SUM(POSEBNI_DIO_!C15)</f>
        <v>11378.71</v>
      </c>
      <c r="G50" s="237">
        <f>SUM(POSEBNI_DIO_!D15)</f>
        <v>11060.6</v>
      </c>
      <c r="H50" s="233">
        <f t="shared" si="23"/>
        <v>123.15555060683666</v>
      </c>
      <c r="I50" s="233"/>
      <c r="J50" s="285"/>
      <c r="K50" s="285"/>
      <c r="L50" s="285"/>
      <c r="M50" s="285"/>
      <c r="N50" s="285"/>
      <c r="O50" s="285"/>
      <c r="P50" s="285"/>
      <c r="Q50" s="285"/>
    </row>
    <row r="51" spans="1:17" s="275" customFormat="1" x14ac:dyDescent="0.2">
      <c r="A51" s="239"/>
      <c r="B51" s="13">
        <v>313</v>
      </c>
      <c r="C51" s="239"/>
      <c r="D51" s="239" t="s">
        <v>106</v>
      </c>
      <c r="E51" s="238">
        <f>SUM(E52:E52)</f>
        <v>35973.9</v>
      </c>
      <c r="F51" s="238">
        <f>SUM(F52:F52)</f>
        <v>40137.089999999997</v>
      </c>
      <c r="G51" s="238">
        <f>SUM(G52:G52)</f>
        <v>38790.300000000003</v>
      </c>
      <c r="H51" s="237">
        <f t="shared" si="20"/>
        <v>107.82900936512306</v>
      </c>
      <c r="I51" s="255"/>
      <c r="J51" s="274"/>
      <c r="K51" s="274"/>
      <c r="L51" s="274"/>
      <c r="M51" s="274"/>
      <c r="N51" s="274"/>
      <c r="O51" s="274"/>
      <c r="P51" s="274"/>
      <c r="Q51" s="274"/>
    </row>
    <row r="52" spans="1:17" s="278" customFormat="1" x14ac:dyDescent="0.2">
      <c r="A52" s="241"/>
      <c r="B52" s="242">
        <v>3132</v>
      </c>
      <c r="C52" s="241"/>
      <c r="D52" s="241" t="s">
        <v>186</v>
      </c>
      <c r="E52" s="249">
        <f>17986.95*2</f>
        <v>35973.9</v>
      </c>
      <c r="F52" s="249">
        <f>SUM(POSEBNI_DIO_!C17)</f>
        <v>40137.089999999997</v>
      </c>
      <c r="G52" s="249">
        <f>SUM(POSEBNI_DIO_!D17)</f>
        <v>38790.300000000003</v>
      </c>
      <c r="H52" s="237">
        <f t="shared" si="20"/>
        <v>107.82900936512306</v>
      </c>
      <c r="I52" s="255"/>
      <c r="J52" s="277"/>
      <c r="K52" s="277"/>
      <c r="L52" s="277"/>
      <c r="M52" s="277"/>
      <c r="N52" s="277"/>
      <c r="O52" s="277"/>
      <c r="P52" s="277"/>
      <c r="Q52" s="277"/>
    </row>
    <row r="53" spans="1:17" s="275" customFormat="1" x14ac:dyDescent="0.2">
      <c r="A53" s="240"/>
      <c r="B53" s="234">
        <v>32</v>
      </c>
      <c r="C53" s="240"/>
      <c r="D53" s="11" t="s">
        <v>14</v>
      </c>
      <c r="E53" s="12">
        <f>SUM(E54,E58,E63,E72,E74)</f>
        <v>101612.48000000001</v>
      </c>
      <c r="F53" s="12">
        <f t="shared" ref="F53:G53" si="24">SUM(F54,F58,F63,F72,F74)</f>
        <v>103729.75</v>
      </c>
      <c r="G53" s="12">
        <f t="shared" si="24"/>
        <v>98538.099999999991</v>
      </c>
      <c r="H53" s="248">
        <f>SUM(G53/E53*100)</f>
        <v>96.974407080705021</v>
      </c>
      <c r="I53" s="248">
        <f t="shared" si="21"/>
        <v>94.99502312499547</v>
      </c>
      <c r="J53" s="274"/>
      <c r="K53" s="274"/>
      <c r="L53" s="274"/>
      <c r="M53" s="274"/>
      <c r="N53" s="274"/>
      <c r="O53" s="274"/>
      <c r="P53" s="274"/>
      <c r="Q53" s="274"/>
    </row>
    <row r="54" spans="1:17" s="288" customFormat="1" x14ac:dyDescent="0.2">
      <c r="A54" s="239"/>
      <c r="B54" s="235">
        <v>321</v>
      </c>
      <c r="C54" s="239"/>
      <c r="D54" s="239" t="s">
        <v>112</v>
      </c>
      <c r="E54" s="233">
        <f>SUM(E55:E57)</f>
        <v>7794.04</v>
      </c>
      <c r="F54" s="233">
        <f>SUM(F55:F57)</f>
        <v>8319.7999999999993</v>
      </c>
      <c r="G54" s="233">
        <f>SUM(G55:G57)</f>
        <v>7479.67</v>
      </c>
      <c r="H54" s="237">
        <f t="shared" si="20"/>
        <v>95.966533402445975</v>
      </c>
      <c r="I54" s="237"/>
      <c r="J54" s="287"/>
      <c r="K54" s="287"/>
      <c r="L54" s="287"/>
      <c r="M54" s="287"/>
      <c r="N54" s="287"/>
      <c r="O54" s="287"/>
      <c r="P54" s="287"/>
      <c r="Q54" s="287"/>
    </row>
    <row r="55" spans="1:17" s="275" customFormat="1" x14ac:dyDescent="0.2">
      <c r="A55" s="241"/>
      <c r="B55" s="236" t="s">
        <v>187</v>
      </c>
      <c r="C55" s="241"/>
      <c r="D55" s="241" t="s">
        <v>188</v>
      </c>
      <c r="E55" s="237">
        <f>970.06*2</f>
        <v>1940.12</v>
      </c>
      <c r="F55" s="237">
        <f>SUM(POSEBNI_DIO_!C20)</f>
        <v>2654.46</v>
      </c>
      <c r="G55" s="237">
        <f>SUM(POSEBNI_DIO_!D20)</f>
        <v>2400.4699999999998</v>
      </c>
      <c r="H55" s="237">
        <f t="shared" si="20"/>
        <v>123.72791373729459</v>
      </c>
      <c r="I55" s="237"/>
      <c r="J55" s="274"/>
      <c r="K55" s="274"/>
      <c r="L55" s="274"/>
      <c r="M55" s="274"/>
      <c r="N55" s="274"/>
      <c r="O55" s="274"/>
      <c r="P55" s="274"/>
      <c r="Q55" s="274"/>
    </row>
    <row r="56" spans="1:17" s="275" customFormat="1" x14ac:dyDescent="0.2">
      <c r="A56" s="241"/>
      <c r="B56" s="236" t="s">
        <v>189</v>
      </c>
      <c r="C56" s="241"/>
      <c r="D56" s="241" t="s">
        <v>120</v>
      </c>
      <c r="E56" s="237">
        <f>2347.4*2</f>
        <v>4694.8</v>
      </c>
      <c r="F56" s="237">
        <f>SUM(POSEBNI_DIO_!C21)</f>
        <v>4470.83</v>
      </c>
      <c r="G56" s="237">
        <f>SUM(POSEBNI_DIO_!D21)</f>
        <v>3962.12</v>
      </c>
      <c r="H56" s="237">
        <f t="shared" si="20"/>
        <v>84.393797392860179</v>
      </c>
      <c r="I56" s="237"/>
      <c r="J56" s="274"/>
      <c r="K56" s="274"/>
      <c r="L56" s="274"/>
      <c r="M56" s="274"/>
      <c r="N56" s="274"/>
      <c r="O56" s="274"/>
      <c r="P56" s="274"/>
      <c r="Q56" s="274"/>
    </row>
    <row r="57" spans="1:17" s="275" customFormat="1" x14ac:dyDescent="0.2">
      <c r="A57" s="241"/>
      <c r="B57" s="236">
        <v>3213</v>
      </c>
      <c r="C57" s="241"/>
      <c r="D57" s="241" t="s">
        <v>121</v>
      </c>
      <c r="E57" s="237">
        <f>579.56*2</f>
        <v>1159.1199999999999</v>
      </c>
      <c r="F57" s="237">
        <f>SUM(POSEBNI_DIO_!C22)</f>
        <v>1194.51</v>
      </c>
      <c r="G57" s="237">
        <f>SUM(POSEBNI_DIO_!D22)</f>
        <v>1117.08</v>
      </c>
      <c r="H57" s="237">
        <f t="shared" si="20"/>
        <v>96.373110635654641</v>
      </c>
      <c r="I57" s="237"/>
      <c r="J57" s="274"/>
      <c r="K57" s="274"/>
      <c r="L57" s="274"/>
      <c r="M57" s="274"/>
      <c r="N57" s="274"/>
      <c r="O57" s="274"/>
      <c r="P57" s="274"/>
      <c r="Q57" s="274"/>
    </row>
    <row r="58" spans="1:17" s="288" customFormat="1" x14ac:dyDescent="0.2">
      <c r="A58" s="239"/>
      <c r="B58" s="235">
        <v>322</v>
      </c>
      <c r="C58" s="239"/>
      <c r="D58" s="239" t="s">
        <v>113</v>
      </c>
      <c r="E58" s="233">
        <f t="shared" ref="E58:F58" si="25">SUM(E59:E62)</f>
        <v>21807.919999999998</v>
      </c>
      <c r="F58" s="233">
        <f t="shared" si="25"/>
        <v>28170.47</v>
      </c>
      <c r="G58" s="233">
        <f>SUM(G59:G62)</f>
        <v>24383.190000000002</v>
      </c>
      <c r="H58" s="237">
        <f t="shared" ref="H58:H83" si="26">SUM(G58/E58*100)</f>
        <v>111.80887494084719</v>
      </c>
      <c r="I58" s="237"/>
      <c r="J58" s="287"/>
      <c r="K58" s="287"/>
      <c r="L58" s="287"/>
      <c r="M58" s="287"/>
      <c r="N58" s="287"/>
      <c r="O58" s="287"/>
      <c r="P58" s="287"/>
      <c r="Q58" s="287"/>
    </row>
    <row r="59" spans="1:17" s="275" customFormat="1" ht="31.5" x14ac:dyDescent="0.2">
      <c r="A59" s="241"/>
      <c r="B59" s="361" t="s">
        <v>190</v>
      </c>
      <c r="C59" s="241"/>
      <c r="D59" s="362" t="s">
        <v>130</v>
      </c>
      <c r="E59" s="237">
        <f>(1032.96+66.36)*2</f>
        <v>2198.64</v>
      </c>
      <c r="F59" s="237">
        <f>SUM(POSEBNI_DIO_!C24,POSEBNI_DIO_!C92)</f>
        <v>4014.91</v>
      </c>
      <c r="G59" s="237">
        <f>SUM(POSEBNI_DIO_!D24,POSEBNI_DIO_!D92)</f>
        <v>5768.8499999999995</v>
      </c>
      <c r="H59" s="237">
        <f t="shared" si="26"/>
        <v>262.38265473201614</v>
      </c>
      <c r="I59" s="271"/>
      <c r="J59" s="274"/>
      <c r="K59" s="274"/>
      <c r="L59" s="274"/>
      <c r="M59" s="274"/>
      <c r="N59" s="274"/>
      <c r="O59" s="274"/>
      <c r="P59" s="274"/>
      <c r="Q59" s="274"/>
    </row>
    <row r="60" spans="1:17" s="275" customFormat="1" ht="15.75" x14ac:dyDescent="0.2">
      <c r="A60" s="241"/>
      <c r="B60" s="361" t="s">
        <v>191</v>
      </c>
      <c r="C60" s="241"/>
      <c r="D60" s="362" t="s">
        <v>192</v>
      </c>
      <c r="E60" s="237">
        <f>9404.06*2</f>
        <v>18808.12</v>
      </c>
      <c r="F60" s="237">
        <f>SUM(POSEBNI_DIO_!C25)</f>
        <v>23890.11</v>
      </c>
      <c r="G60" s="237">
        <f>SUM(POSEBNI_DIO_!D25)</f>
        <v>18521.120000000003</v>
      </c>
      <c r="H60" s="237">
        <f t="shared" si="26"/>
        <v>98.474063330093614</v>
      </c>
      <c r="I60" s="271"/>
      <c r="J60" s="274"/>
      <c r="K60" s="274"/>
      <c r="L60" s="274"/>
      <c r="M60" s="274"/>
      <c r="N60" s="274"/>
      <c r="O60" s="274"/>
      <c r="P60" s="274"/>
      <c r="Q60" s="274"/>
    </row>
    <row r="61" spans="1:17" s="275" customFormat="1" ht="31.5" x14ac:dyDescent="0.2">
      <c r="A61" s="241"/>
      <c r="B61" s="361" t="s">
        <v>193</v>
      </c>
      <c r="C61" s="241"/>
      <c r="D61" s="362" t="s">
        <v>194</v>
      </c>
      <c r="E61" s="237">
        <f>163.08*2</f>
        <v>326.16000000000003</v>
      </c>
      <c r="F61" s="237">
        <f>SUM(POSEBNI_DIO_!C26)</f>
        <v>265.45</v>
      </c>
      <c r="G61" s="237">
        <f>SUM(POSEBNI_DIO_!D26)</f>
        <v>93.22</v>
      </c>
      <c r="H61" s="237">
        <f t="shared" si="26"/>
        <v>28.581064508216826</v>
      </c>
      <c r="I61" s="271"/>
      <c r="J61" s="274"/>
      <c r="K61" s="274"/>
      <c r="L61" s="274"/>
      <c r="M61" s="274"/>
      <c r="N61" s="274"/>
      <c r="O61" s="274"/>
      <c r="P61" s="274"/>
      <c r="Q61" s="274"/>
    </row>
    <row r="62" spans="1:17" s="275" customFormat="1" ht="15.75" x14ac:dyDescent="0.2">
      <c r="A62" s="241"/>
      <c r="B62" s="361">
        <v>3225</v>
      </c>
      <c r="C62" s="241"/>
      <c r="D62" s="362" t="s">
        <v>122</v>
      </c>
      <c r="E62" s="237">
        <f>237.5*2</f>
        <v>475</v>
      </c>
      <c r="F62" s="237">
        <f>SUM(POSEBNI_DIO_!C27)</f>
        <v>0</v>
      </c>
      <c r="G62" s="237">
        <f>SUM(POSEBNI_DIO_!D27)</f>
        <v>0</v>
      </c>
      <c r="H62" s="237">
        <f t="shared" si="26"/>
        <v>0</v>
      </c>
      <c r="I62" s="271"/>
      <c r="J62" s="274"/>
      <c r="K62" s="274"/>
      <c r="L62" s="274"/>
      <c r="M62" s="274"/>
      <c r="N62" s="274"/>
      <c r="O62" s="274"/>
      <c r="P62" s="274"/>
      <c r="Q62" s="274"/>
    </row>
    <row r="63" spans="1:17" s="288" customFormat="1" x14ac:dyDescent="0.2">
      <c r="A63" s="239"/>
      <c r="B63" s="235">
        <v>323</v>
      </c>
      <c r="C63" s="239"/>
      <c r="D63" s="239" t="s">
        <v>99</v>
      </c>
      <c r="E63" s="233">
        <f>SUM(E64:E71)</f>
        <v>68631.42</v>
      </c>
      <c r="F63" s="233">
        <f>SUM(F64:F71)</f>
        <v>66252.53</v>
      </c>
      <c r="G63" s="233">
        <f>SUM(G64:G71)</f>
        <v>65890.759999999995</v>
      </c>
      <c r="H63" s="237">
        <f t="shared" si="26"/>
        <v>96.00669780692283</v>
      </c>
      <c r="I63" s="237"/>
      <c r="J63" s="287"/>
      <c r="K63" s="287"/>
      <c r="L63" s="287"/>
      <c r="M63" s="287"/>
      <c r="N63" s="287"/>
      <c r="O63" s="287"/>
      <c r="P63" s="287"/>
      <c r="Q63" s="287"/>
    </row>
    <row r="64" spans="1:17" s="275" customFormat="1" ht="15.75" x14ac:dyDescent="0.2">
      <c r="A64" s="241"/>
      <c r="B64" s="331" t="s">
        <v>196</v>
      </c>
      <c r="C64" s="241"/>
      <c r="D64" s="355" t="s">
        <v>197</v>
      </c>
      <c r="E64" s="237">
        <f>1298.98*2</f>
        <v>2597.96</v>
      </c>
      <c r="F64" s="237">
        <f>SUM(POSEBNI_DIO_!C29)</f>
        <v>2521.73</v>
      </c>
      <c r="G64" s="237">
        <f>SUM(POSEBNI_DIO_!D29)</f>
        <v>2558.92</v>
      </c>
      <c r="H64" s="237">
        <f t="shared" si="26"/>
        <v>98.49728248317912</v>
      </c>
      <c r="I64" s="271"/>
      <c r="J64" s="274"/>
      <c r="K64" s="274"/>
      <c r="L64" s="274"/>
      <c r="M64" s="274"/>
      <c r="N64" s="274"/>
      <c r="O64" s="274"/>
      <c r="P64" s="274"/>
      <c r="Q64" s="274"/>
    </row>
    <row r="65" spans="1:17" s="275" customFormat="1" ht="31.5" x14ac:dyDescent="0.2">
      <c r="A65" s="241"/>
      <c r="B65" s="331" t="s">
        <v>198</v>
      </c>
      <c r="C65" s="241"/>
      <c r="D65" s="355" t="s">
        <v>199</v>
      </c>
      <c r="E65" s="237">
        <f>2740.04*2</f>
        <v>5480.08</v>
      </c>
      <c r="F65" s="237">
        <f>SUM(POSEBNI_DIO_!C30)</f>
        <v>6708.91</v>
      </c>
      <c r="G65" s="237">
        <f>SUM(POSEBNI_DIO_!D30)</f>
        <v>8049.9099999999989</v>
      </c>
      <c r="H65" s="237">
        <f t="shared" si="26"/>
        <v>146.89402344491322</v>
      </c>
      <c r="I65" s="271"/>
      <c r="J65" s="274"/>
      <c r="K65" s="274"/>
      <c r="L65" s="274"/>
      <c r="M65" s="274"/>
      <c r="N65" s="274"/>
      <c r="O65" s="274"/>
      <c r="P65" s="274"/>
      <c r="Q65" s="274"/>
    </row>
    <row r="66" spans="1:17" s="275" customFormat="1" ht="15.75" x14ac:dyDescent="0.2">
      <c r="A66" s="241"/>
      <c r="B66" s="331">
        <v>3233</v>
      </c>
      <c r="C66" s="241"/>
      <c r="D66" s="355" t="s">
        <v>276</v>
      </c>
      <c r="E66" s="237">
        <f>1093.57*2</f>
        <v>2187.14</v>
      </c>
      <c r="F66" s="237">
        <f>SUM(POSEBNI_DIO_!C31)</f>
        <v>668.17</v>
      </c>
      <c r="G66" s="237">
        <f>SUM(POSEBNI_DIO_!D31)</f>
        <v>733</v>
      </c>
      <c r="H66" s="237">
        <f t="shared" si="26"/>
        <v>33.514086889728141</v>
      </c>
      <c r="I66" s="271"/>
      <c r="J66" s="274"/>
      <c r="K66" s="274"/>
      <c r="L66" s="274"/>
      <c r="M66" s="274"/>
      <c r="N66" s="274"/>
      <c r="O66" s="274"/>
      <c r="P66" s="274"/>
      <c r="Q66" s="274"/>
    </row>
    <row r="67" spans="1:17" s="275" customFormat="1" ht="15.75" x14ac:dyDescent="0.2">
      <c r="A67" s="241"/>
      <c r="B67" s="331">
        <v>3234</v>
      </c>
      <c r="C67" s="241"/>
      <c r="D67" s="355" t="s">
        <v>200</v>
      </c>
      <c r="E67" s="237">
        <f>588.76*2</f>
        <v>1177.52</v>
      </c>
      <c r="F67" s="237">
        <f>SUM(POSEBNI_DIO_!C32)</f>
        <v>1123.56</v>
      </c>
      <c r="G67" s="237">
        <f>SUM(POSEBNI_DIO_!D32)</f>
        <v>819.71</v>
      </c>
      <c r="H67" s="237">
        <f>SUM(G67/E67*100)</f>
        <v>69.61325497656091</v>
      </c>
      <c r="I67" s="271"/>
      <c r="J67" s="274"/>
      <c r="K67" s="274"/>
      <c r="L67" s="274"/>
      <c r="M67" s="274"/>
      <c r="N67" s="274"/>
      <c r="O67" s="274"/>
      <c r="P67" s="274"/>
      <c r="Q67" s="274"/>
    </row>
    <row r="68" spans="1:17" s="275" customFormat="1" ht="15.75" x14ac:dyDescent="0.2">
      <c r="A68" s="241"/>
      <c r="B68" s="331">
        <v>3235</v>
      </c>
      <c r="C68" s="241"/>
      <c r="D68" s="355" t="s">
        <v>136</v>
      </c>
      <c r="E68" s="237">
        <f>7567.73*2</f>
        <v>15135.46</v>
      </c>
      <c r="F68" s="237">
        <f>SUM(POSEBNI_DIO_!C33)</f>
        <v>15574.23</v>
      </c>
      <c r="G68" s="237">
        <f>SUM(POSEBNI_DIO_!D33)</f>
        <v>15574.23</v>
      </c>
      <c r="H68" s="237">
        <f t="shared" si="26"/>
        <v>102.89895384745491</v>
      </c>
      <c r="I68" s="271"/>
      <c r="J68" s="274"/>
      <c r="K68" s="274"/>
      <c r="L68" s="274"/>
      <c r="M68" s="274"/>
      <c r="N68" s="274"/>
      <c r="O68" s="274"/>
      <c r="P68" s="274"/>
      <c r="Q68" s="274"/>
    </row>
    <row r="69" spans="1:17" s="275" customFormat="1" ht="15.75" x14ac:dyDescent="0.2">
      <c r="A69" s="241"/>
      <c r="B69" s="331">
        <v>3237</v>
      </c>
      <c r="C69" s="241"/>
      <c r="D69" s="355" t="s">
        <v>133</v>
      </c>
      <c r="E69" s="237">
        <f>(4625.47+3522.11)*2</f>
        <v>16295.16</v>
      </c>
      <c r="F69" s="237">
        <f>SUM(POSEBNI_DIO_!C34,POSEBNI_DIO_!C94)</f>
        <v>5356.4800000000005</v>
      </c>
      <c r="G69" s="237">
        <f>SUM(POSEBNI_DIO_!D34,POSEBNI_DIO_!D94)</f>
        <v>4949.92</v>
      </c>
      <c r="H69" s="237">
        <f t="shared" si="26"/>
        <v>30.376627170276326</v>
      </c>
      <c r="I69" s="271"/>
      <c r="J69" s="274"/>
      <c r="K69" s="274"/>
      <c r="L69" s="274"/>
      <c r="M69" s="274"/>
      <c r="N69" s="274"/>
      <c r="O69" s="274"/>
      <c r="P69" s="274"/>
      <c r="Q69" s="274"/>
    </row>
    <row r="70" spans="1:17" s="275" customFormat="1" ht="15.75" x14ac:dyDescent="0.2">
      <c r="A70" s="241"/>
      <c r="B70" s="331" t="s">
        <v>201</v>
      </c>
      <c r="C70" s="241"/>
      <c r="D70" s="355" t="s">
        <v>202</v>
      </c>
      <c r="E70" s="237">
        <f>(4086.26+663.61)*2</f>
        <v>9499.74</v>
      </c>
      <c r="F70" s="237">
        <f>SUM(POSEBNI_DIO_!C35,POSEBNI_DIO_!C95)</f>
        <v>10403.75</v>
      </c>
      <c r="G70" s="237">
        <f>SUM(POSEBNI_DIO_!D35,POSEBNI_DIO_!D95)</f>
        <v>10396.75</v>
      </c>
      <c r="H70" s="237">
        <f t="shared" si="26"/>
        <v>109.44246895178185</v>
      </c>
      <c r="I70" s="271"/>
      <c r="J70" s="274"/>
      <c r="K70" s="274"/>
      <c r="L70" s="274"/>
      <c r="M70" s="274"/>
      <c r="N70" s="274"/>
      <c r="O70" s="274"/>
      <c r="P70" s="274"/>
      <c r="Q70" s="274"/>
    </row>
    <row r="71" spans="1:17" s="275" customFormat="1" ht="15.75" x14ac:dyDescent="0.2">
      <c r="A71" s="241"/>
      <c r="B71" s="331" t="s">
        <v>203</v>
      </c>
      <c r="C71" s="241"/>
      <c r="D71" s="355" t="s">
        <v>134</v>
      </c>
      <c r="E71" s="237">
        <f>(2713.52+5415.66)*2</f>
        <v>16258.36</v>
      </c>
      <c r="F71" s="237">
        <f>SUM(POSEBNI_DIO_!C36,POSEBNI_DIO_!C96)</f>
        <v>23895.7</v>
      </c>
      <c r="G71" s="237">
        <f>SUM(POSEBNI_DIO_!D36,POSEBNI_DIO_!D96)</f>
        <v>22808.32</v>
      </c>
      <c r="H71" s="237">
        <f t="shared" si="26"/>
        <v>140.28672018579979</v>
      </c>
      <c r="I71" s="271"/>
      <c r="J71" s="274"/>
      <c r="K71" s="274"/>
      <c r="L71" s="274"/>
      <c r="M71" s="274"/>
      <c r="N71" s="274"/>
      <c r="O71" s="274"/>
      <c r="P71" s="274"/>
      <c r="Q71" s="274"/>
    </row>
    <row r="72" spans="1:17" s="288" customFormat="1" ht="30" x14ac:dyDescent="0.2">
      <c r="A72" s="239"/>
      <c r="B72" s="235" t="s">
        <v>284</v>
      </c>
      <c r="C72" s="239"/>
      <c r="D72" s="250" t="s">
        <v>208</v>
      </c>
      <c r="E72" s="233">
        <f>SUM(E73)</f>
        <v>868.28</v>
      </c>
      <c r="F72" s="233">
        <f t="shared" ref="F72" si="27">SUM(F73)</f>
        <v>0</v>
      </c>
      <c r="G72" s="233">
        <f>SUM(G73)</f>
        <v>0</v>
      </c>
      <c r="H72" s="237">
        <f t="shared" si="26"/>
        <v>0</v>
      </c>
      <c r="I72" s="237"/>
      <c r="J72" s="287"/>
      <c r="K72" s="287"/>
      <c r="L72" s="287"/>
      <c r="M72" s="287"/>
      <c r="N72" s="287"/>
      <c r="O72" s="287"/>
      <c r="P72" s="287"/>
      <c r="Q72" s="287"/>
    </row>
    <row r="73" spans="1:17" s="275" customFormat="1" ht="30" x14ac:dyDescent="0.2">
      <c r="A73" s="241"/>
      <c r="B73" s="331">
        <v>3241</v>
      </c>
      <c r="C73" s="241"/>
      <c r="D73" s="245" t="s">
        <v>208</v>
      </c>
      <c r="E73" s="237">
        <f>434.14*2</f>
        <v>868.28</v>
      </c>
      <c r="F73" s="237">
        <v>0</v>
      </c>
      <c r="G73" s="237">
        <v>0</v>
      </c>
      <c r="H73" s="237">
        <f t="shared" si="26"/>
        <v>0</v>
      </c>
      <c r="I73" s="271"/>
      <c r="J73" s="274"/>
      <c r="K73" s="274"/>
      <c r="L73" s="274"/>
      <c r="M73" s="274"/>
      <c r="N73" s="274"/>
      <c r="O73" s="274"/>
      <c r="P73" s="274"/>
      <c r="Q73" s="274"/>
    </row>
    <row r="74" spans="1:17" s="288" customFormat="1" x14ac:dyDescent="0.2">
      <c r="A74" s="239"/>
      <c r="B74" s="235">
        <v>329</v>
      </c>
      <c r="C74" s="239"/>
      <c r="D74" s="239" t="s">
        <v>114</v>
      </c>
      <c r="E74" s="233">
        <f>SUM(E75:E79)</f>
        <v>2510.8200000000002</v>
      </c>
      <c r="F74" s="233">
        <f>SUM(F75:F79)</f>
        <v>986.95</v>
      </c>
      <c r="G74" s="233">
        <f>SUM(G75:G79)</f>
        <v>784.48000000000013</v>
      </c>
      <c r="H74" s="237">
        <f t="shared" si="26"/>
        <v>31.24397607156228</v>
      </c>
      <c r="I74" s="237"/>
      <c r="J74" s="287"/>
      <c r="K74" s="287"/>
      <c r="L74" s="287"/>
      <c r="M74" s="287"/>
      <c r="N74" s="287"/>
      <c r="O74" s="287"/>
      <c r="P74" s="287"/>
      <c r="Q74" s="287"/>
    </row>
    <row r="75" spans="1:17" s="275" customFormat="1" ht="15.75" x14ac:dyDescent="0.2">
      <c r="A75" s="241"/>
      <c r="B75" s="331">
        <v>3292</v>
      </c>
      <c r="C75" s="241"/>
      <c r="D75" s="355" t="s">
        <v>272</v>
      </c>
      <c r="E75" s="237">
        <f>313.47*2</f>
        <v>626.94000000000005</v>
      </c>
      <c r="F75" s="237">
        <f>SUM(POSEBNI_DIO_!C38)</f>
        <v>663.61</v>
      </c>
      <c r="G75" s="237">
        <f>SUM(POSEBNI_DIO_!D38)</f>
        <v>649.94000000000005</v>
      </c>
      <c r="H75" s="237">
        <f t="shared" si="26"/>
        <v>103.66861262640764</v>
      </c>
      <c r="I75" s="271"/>
      <c r="J75" s="274"/>
      <c r="K75" s="274"/>
      <c r="L75" s="274"/>
      <c r="M75" s="274"/>
      <c r="N75" s="274"/>
      <c r="O75" s="274"/>
      <c r="P75" s="274"/>
      <c r="Q75" s="274"/>
    </row>
    <row r="76" spans="1:17" s="275" customFormat="1" ht="15.75" x14ac:dyDescent="0.2">
      <c r="A76" s="241"/>
      <c r="B76" s="331" t="s">
        <v>204</v>
      </c>
      <c r="C76" s="241"/>
      <c r="D76" s="355" t="s">
        <v>205</v>
      </c>
      <c r="E76" s="237">
        <f>141.27*2</f>
        <v>282.54000000000002</v>
      </c>
      <c r="F76" s="237">
        <f>SUM(POSEBNI_DIO_!C39)</f>
        <v>130.88999999999999</v>
      </c>
      <c r="G76" s="237">
        <f>SUM(POSEBNI_DIO_!D39)</f>
        <v>49.61</v>
      </c>
      <c r="H76" s="237">
        <f t="shared" si="26"/>
        <v>17.558575776881145</v>
      </c>
      <c r="I76" s="271"/>
      <c r="J76" s="274"/>
      <c r="K76" s="274"/>
      <c r="L76" s="274"/>
      <c r="M76" s="274"/>
      <c r="N76" s="274"/>
      <c r="O76" s="274"/>
      <c r="P76" s="274"/>
      <c r="Q76" s="274"/>
    </row>
    <row r="77" spans="1:17" s="275" customFormat="1" ht="15.75" x14ac:dyDescent="0.2">
      <c r="A77" s="241"/>
      <c r="B77" s="331">
        <v>3294</v>
      </c>
      <c r="C77" s="241"/>
      <c r="D77" s="355" t="s">
        <v>277</v>
      </c>
      <c r="E77" s="237">
        <f>59.73*2</f>
        <v>119.46</v>
      </c>
      <c r="F77" s="237">
        <f>SUM(POSEBNI_DIO_!C40)</f>
        <v>59.73</v>
      </c>
      <c r="G77" s="237">
        <f>SUM(POSEBNI_DIO_!D40)</f>
        <v>59.73</v>
      </c>
      <c r="H77" s="237">
        <f t="shared" si="26"/>
        <v>50</v>
      </c>
      <c r="I77" s="271"/>
      <c r="J77" s="274"/>
      <c r="K77" s="274"/>
      <c r="L77" s="274"/>
      <c r="M77" s="274"/>
      <c r="N77" s="274"/>
      <c r="O77" s="274"/>
      <c r="P77" s="274"/>
      <c r="Q77" s="274"/>
    </row>
    <row r="78" spans="1:17" s="275" customFormat="1" ht="15.75" x14ac:dyDescent="0.2">
      <c r="A78" s="241"/>
      <c r="B78" s="331">
        <v>3296</v>
      </c>
      <c r="C78" s="241"/>
      <c r="D78" s="355" t="s">
        <v>282</v>
      </c>
      <c r="E78" s="237">
        <f>442.96*2</f>
        <v>885.92</v>
      </c>
      <c r="F78" s="237">
        <v>0</v>
      </c>
      <c r="G78" s="237">
        <v>0</v>
      </c>
      <c r="H78" s="237">
        <f t="shared" si="26"/>
        <v>0</v>
      </c>
      <c r="I78" s="271"/>
      <c r="J78" s="274"/>
      <c r="K78" s="274"/>
      <c r="L78" s="274"/>
      <c r="M78" s="274"/>
      <c r="N78" s="274"/>
      <c r="O78" s="274"/>
      <c r="P78" s="274"/>
      <c r="Q78" s="274"/>
    </row>
    <row r="79" spans="1:17" s="275" customFormat="1" ht="15.75" x14ac:dyDescent="0.2">
      <c r="A79" s="241"/>
      <c r="B79" s="331" t="s">
        <v>206</v>
      </c>
      <c r="C79" s="241"/>
      <c r="D79" s="355" t="s">
        <v>114</v>
      </c>
      <c r="E79" s="237">
        <f>297.98*2</f>
        <v>595.96</v>
      </c>
      <c r="F79" s="237">
        <f>SUM(POSEBNI_DIO_!C41)</f>
        <v>132.72</v>
      </c>
      <c r="G79" s="237">
        <f>SUM(POSEBNI_DIO_!D41)</f>
        <v>25.2</v>
      </c>
      <c r="H79" s="237">
        <f t="shared" si="26"/>
        <v>4.2284717095107052</v>
      </c>
      <c r="I79" s="271"/>
      <c r="J79" s="274"/>
      <c r="K79" s="274"/>
      <c r="L79" s="274"/>
      <c r="M79" s="274"/>
      <c r="N79" s="274"/>
      <c r="O79" s="274"/>
      <c r="P79" s="274"/>
      <c r="Q79" s="274"/>
    </row>
    <row r="80" spans="1:17" s="275" customFormat="1" x14ac:dyDescent="0.2">
      <c r="A80" s="240"/>
      <c r="B80" s="234">
        <v>34</v>
      </c>
      <c r="C80" s="240"/>
      <c r="D80" s="11" t="s">
        <v>17</v>
      </c>
      <c r="E80" s="12">
        <f t="shared" ref="E80:F80" si="28">SUM(E81)</f>
        <v>2658.1200000000003</v>
      </c>
      <c r="F80" s="12">
        <f t="shared" si="28"/>
        <v>680.89</v>
      </c>
      <c r="G80" s="12">
        <f>SUM(G81)</f>
        <v>636.46</v>
      </c>
      <c r="H80" s="248">
        <f>SUM(G80/E80*100)</f>
        <v>23.943990489518907</v>
      </c>
      <c r="I80" s="248">
        <f>SUM(G80/F80*100)</f>
        <v>93.474716914626455</v>
      </c>
      <c r="J80" s="274"/>
      <c r="K80" s="274"/>
      <c r="L80" s="274"/>
      <c r="M80" s="274"/>
      <c r="N80" s="274"/>
      <c r="O80" s="274"/>
      <c r="P80" s="274"/>
      <c r="Q80" s="274"/>
    </row>
    <row r="81" spans="1:17" s="288" customFormat="1" x14ac:dyDescent="0.2">
      <c r="A81" s="239"/>
      <c r="B81" s="235">
        <v>343</v>
      </c>
      <c r="C81" s="239"/>
      <c r="D81" s="239" t="s">
        <v>116</v>
      </c>
      <c r="E81" s="233">
        <f t="shared" ref="E81:F81" si="29">SUM(E82:E83)</f>
        <v>2658.1200000000003</v>
      </c>
      <c r="F81" s="233">
        <f t="shared" si="29"/>
        <v>680.89</v>
      </c>
      <c r="G81" s="233">
        <f>SUM(G82:G83)</f>
        <v>636.46</v>
      </c>
      <c r="H81" s="237">
        <f t="shared" si="26"/>
        <v>23.943990489518907</v>
      </c>
      <c r="I81" s="237"/>
      <c r="J81" s="287"/>
      <c r="K81" s="287"/>
      <c r="L81" s="287"/>
      <c r="M81" s="287"/>
      <c r="N81" s="287"/>
      <c r="O81" s="287"/>
      <c r="P81" s="287"/>
      <c r="Q81" s="287"/>
    </row>
    <row r="82" spans="1:17" s="275" customFormat="1" ht="31.5" x14ac:dyDescent="0.2">
      <c r="A82" s="241"/>
      <c r="B82" s="393">
        <v>3431</v>
      </c>
      <c r="C82" s="241"/>
      <c r="D82" s="355" t="s">
        <v>207</v>
      </c>
      <c r="E82" s="237">
        <f>301.66*2</f>
        <v>603.32000000000005</v>
      </c>
      <c r="F82" s="237">
        <f>SUM(POSEBNI_DIO_!C44)</f>
        <v>680.89</v>
      </c>
      <c r="G82" s="237">
        <f>SUM(POSEBNI_DIO_!D44)</f>
        <v>636.46</v>
      </c>
      <c r="H82" s="237">
        <f t="shared" si="26"/>
        <v>105.49293907047669</v>
      </c>
      <c r="I82" s="271"/>
      <c r="J82" s="274"/>
      <c r="K82" s="274"/>
      <c r="L82" s="274"/>
      <c r="M82" s="274"/>
      <c r="N82" s="274"/>
      <c r="O82" s="274"/>
      <c r="P82" s="274"/>
      <c r="Q82" s="274"/>
    </row>
    <row r="83" spans="1:17" s="275" customFormat="1" ht="15.75" x14ac:dyDescent="0.2">
      <c r="A83" s="241"/>
      <c r="B83" s="388">
        <v>3433</v>
      </c>
      <c r="C83" s="241"/>
      <c r="D83" s="389" t="s">
        <v>283</v>
      </c>
      <c r="E83" s="237">
        <f>1027.4*2</f>
        <v>2054.8000000000002</v>
      </c>
      <c r="F83" s="237">
        <v>0</v>
      </c>
      <c r="G83" s="237">
        <v>0</v>
      </c>
      <c r="H83" s="237">
        <f t="shared" si="26"/>
        <v>0</v>
      </c>
      <c r="I83" s="271"/>
      <c r="J83" s="274"/>
      <c r="K83" s="274"/>
      <c r="L83" s="274"/>
      <c r="M83" s="274"/>
      <c r="N83" s="274"/>
      <c r="O83" s="274"/>
      <c r="P83" s="274"/>
      <c r="Q83" s="274"/>
    </row>
    <row r="84" spans="1:17" s="275" customFormat="1" x14ac:dyDescent="0.2">
      <c r="A84" s="256"/>
      <c r="B84" s="251"/>
      <c r="C84" s="252" t="s">
        <v>38</v>
      </c>
      <c r="D84" s="253" t="s">
        <v>41</v>
      </c>
      <c r="E84" s="254">
        <f>SUM(E45,E53,E80)</f>
        <v>367008.9</v>
      </c>
      <c r="F84" s="254">
        <f>SUM(F45,F53,F80)</f>
        <v>399786.87</v>
      </c>
      <c r="G84" s="254">
        <f>SUM(G45,G53,G80)</f>
        <v>384356.53</v>
      </c>
      <c r="H84" s="272">
        <f t="shared" si="20"/>
        <v>104.7267600322499</v>
      </c>
      <c r="I84" s="272">
        <f t="shared" si="21"/>
        <v>96.140358486510578</v>
      </c>
      <c r="J84" s="274"/>
      <c r="K84" s="274"/>
      <c r="L84" s="274"/>
      <c r="M84" s="274"/>
      <c r="N84" s="274"/>
      <c r="O84" s="274"/>
      <c r="P84" s="274"/>
      <c r="Q84" s="274"/>
    </row>
    <row r="85" spans="1:17" s="278" customFormat="1" x14ac:dyDescent="0.2">
      <c r="A85" s="240"/>
      <c r="B85" s="234">
        <v>31</v>
      </c>
      <c r="C85" s="240"/>
      <c r="D85" s="11" t="s">
        <v>13</v>
      </c>
      <c r="E85" s="12">
        <f>SUM(E86,E94)</f>
        <v>41.24</v>
      </c>
      <c r="F85" s="12">
        <f t="shared" ref="F85:G85" si="30">SUM(F86,F94)</f>
        <v>2746.11</v>
      </c>
      <c r="G85" s="12">
        <f t="shared" si="30"/>
        <v>2746.11</v>
      </c>
      <c r="H85" s="248">
        <f>SUM(G85/E85*100)</f>
        <v>6658.8506304558678</v>
      </c>
      <c r="I85" s="248">
        <f>SUM(G85/F85*100)</f>
        <v>100</v>
      </c>
      <c r="J85" s="277"/>
      <c r="K85" s="277"/>
      <c r="L85" s="277"/>
      <c r="M85" s="277"/>
      <c r="N85" s="277"/>
      <c r="O85" s="277"/>
      <c r="P85" s="277"/>
      <c r="Q85" s="277"/>
    </row>
    <row r="86" spans="1:17" s="278" customFormat="1" x14ac:dyDescent="0.2">
      <c r="A86" s="239"/>
      <c r="B86" s="235">
        <v>312</v>
      </c>
      <c r="C86" s="241"/>
      <c r="D86" s="239" t="s">
        <v>271</v>
      </c>
      <c r="E86" s="233">
        <f t="shared" ref="E86:F86" si="31">SUM(E87)</f>
        <v>0</v>
      </c>
      <c r="F86" s="233">
        <f t="shared" si="31"/>
        <v>2746.11</v>
      </c>
      <c r="G86" s="233">
        <f>SUM(G87)</f>
        <v>2746.11</v>
      </c>
      <c r="H86" s="237"/>
      <c r="I86" s="237"/>
      <c r="J86" s="277"/>
      <c r="K86" s="277"/>
      <c r="L86" s="277"/>
      <c r="M86" s="277"/>
      <c r="N86" s="277"/>
      <c r="O86" s="277"/>
      <c r="P86" s="277"/>
      <c r="Q86" s="277"/>
    </row>
    <row r="87" spans="1:17" s="275" customFormat="1" x14ac:dyDescent="0.2">
      <c r="A87" s="241"/>
      <c r="B87" s="236">
        <v>3121</v>
      </c>
      <c r="C87" s="241"/>
      <c r="D87" s="241" t="s">
        <v>271</v>
      </c>
      <c r="E87" s="237"/>
      <c r="F87" s="237">
        <f>POSEBNI_DIO_!C49</f>
        <v>2746.11</v>
      </c>
      <c r="G87" s="237">
        <f>SUM(POSEBNI_DIO_!D48)</f>
        <v>2746.11</v>
      </c>
      <c r="H87" s="233"/>
      <c r="I87" s="233"/>
      <c r="J87" s="274"/>
      <c r="K87" s="274"/>
      <c r="L87" s="274"/>
      <c r="M87" s="274"/>
      <c r="N87" s="274"/>
      <c r="O87" s="274"/>
      <c r="P87" s="274"/>
      <c r="Q87" s="274"/>
    </row>
    <row r="88" spans="1:17" s="278" customFormat="1" x14ac:dyDescent="0.2">
      <c r="A88" s="240"/>
      <c r="B88" s="234">
        <v>32</v>
      </c>
      <c r="C88" s="240"/>
      <c r="D88" s="11" t="s">
        <v>14</v>
      </c>
      <c r="E88" s="12">
        <f t="shared" ref="E88:F88" si="32">SUM(E89,E92,E94)</f>
        <v>41.24</v>
      </c>
      <c r="F88" s="12">
        <f t="shared" si="32"/>
        <v>3003.54</v>
      </c>
      <c r="G88" s="12">
        <f>SUM(G89,G92,G94)</f>
        <v>96.990000000000009</v>
      </c>
      <c r="H88" s="248">
        <f>SUM(G88/E88*100)</f>
        <v>235.18428709990303</v>
      </c>
      <c r="I88" s="248">
        <f t="shared" ref="I88" si="33">SUM(G88/F88*100)</f>
        <v>3.2291895563235382</v>
      </c>
      <c r="J88" s="277"/>
      <c r="K88" s="277"/>
      <c r="L88" s="277"/>
      <c r="M88" s="277"/>
      <c r="N88" s="277"/>
      <c r="O88" s="277"/>
      <c r="P88" s="277"/>
      <c r="Q88" s="277"/>
    </row>
    <row r="89" spans="1:17" s="275" customFormat="1" ht="15.75" customHeight="1" x14ac:dyDescent="0.2">
      <c r="A89" s="239"/>
      <c r="B89" s="246">
        <v>323</v>
      </c>
      <c r="C89" s="279"/>
      <c r="D89" s="243" t="s">
        <v>99</v>
      </c>
      <c r="E89" s="233">
        <f t="shared" ref="E89:F89" si="34">SUM(E90:E91)</f>
        <v>0</v>
      </c>
      <c r="F89" s="233">
        <f t="shared" si="34"/>
        <v>3003.54</v>
      </c>
      <c r="G89" s="233">
        <f>SUM(G90:G91)</f>
        <v>3.54</v>
      </c>
      <c r="H89" s="237"/>
      <c r="I89" s="237"/>
      <c r="J89" s="274"/>
      <c r="K89" s="274"/>
      <c r="L89" s="274"/>
      <c r="M89" s="274"/>
      <c r="N89" s="274"/>
      <c r="O89" s="274"/>
      <c r="P89" s="274"/>
      <c r="Q89" s="274"/>
    </row>
    <row r="90" spans="1:17" s="275" customFormat="1" x14ac:dyDescent="0.2">
      <c r="A90" s="241"/>
      <c r="B90" s="391">
        <v>3232</v>
      </c>
      <c r="C90" s="241"/>
      <c r="D90" s="241" t="s">
        <v>199</v>
      </c>
      <c r="E90" s="237"/>
      <c r="F90" s="237">
        <f>POSEBNI_DIO_!C54</f>
        <v>3000</v>
      </c>
      <c r="G90" s="237">
        <f>POSEBNI_DIO_!D54</f>
        <v>0</v>
      </c>
      <c r="H90" s="233"/>
      <c r="I90" s="233"/>
      <c r="J90" s="274"/>
      <c r="K90" s="274"/>
      <c r="L90" s="274"/>
      <c r="M90" s="274"/>
      <c r="N90" s="274"/>
      <c r="O90" s="274"/>
      <c r="P90" s="274"/>
      <c r="Q90" s="274"/>
    </row>
    <row r="91" spans="1:17" s="275" customFormat="1" x14ac:dyDescent="0.2">
      <c r="A91" s="241"/>
      <c r="B91" s="391">
        <v>3432</v>
      </c>
      <c r="C91" s="241"/>
      <c r="D91" s="241" t="s">
        <v>295</v>
      </c>
      <c r="E91" s="237"/>
      <c r="F91" s="237">
        <f>POSEBNI_DIO_!C59</f>
        <v>3.54</v>
      </c>
      <c r="G91" s="237">
        <f>POSEBNI_DIO_!D59</f>
        <v>3.54</v>
      </c>
      <c r="H91" s="233"/>
      <c r="I91" s="233"/>
      <c r="J91" s="274"/>
      <c r="K91" s="274"/>
      <c r="L91" s="274"/>
      <c r="M91" s="274"/>
      <c r="N91" s="274"/>
      <c r="O91" s="274"/>
      <c r="P91" s="274"/>
      <c r="Q91" s="274"/>
    </row>
    <row r="92" spans="1:17" s="278" customFormat="1" ht="31.5" x14ac:dyDescent="0.2">
      <c r="A92" s="239"/>
      <c r="B92" s="392">
        <v>324</v>
      </c>
      <c r="C92" s="241"/>
      <c r="D92" s="353" t="s">
        <v>296</v>
      </c>
      <c r="E92" s="233"/>
      <c r="F92" s="233">
        <f>SUM(F93)</f>
        <v>0</v>
      </c>
      <c r="G92" s="233">
        <f>SUM(G93)</f>
        <v>93.45</v>
      </c>
      <c r="H92" s="233"/>
      <c r="I92" s="237"/>
      <c r="J92" s="277"/>
      <c r="K92" s="277"/>
      <c r="L92" s="277"/>
      <c r="M92" s="277"/>
      <c r="N92" s="277"/>
      <c r="O92" s="277"/>
      <c r="P92" s="277"/>
      <c r="Q92" s="277"/>
    </row>
    <row r="93" spans="1:17" s="275" customFormat="1" ht="31.5" x14ac:dyDescent="0.2">
      <c r="A93" s="241"/>
      <c r="B93" s="391">
        <v>3241</v>
      </c>
      <c r="C93" s="241"/>
      <c r="D93" s="355" t="s">
        <v>296</v>
      </c>
      <c r="E93" s="237"/>
      <c r="F93" s="237">
        <f>POSEBNI_DIO_!C56</f>
        <v>0</v>
      </c>
      <c r="G93" s="237">
        <f>POSEBNI_DIO_!D56</f>
        <v>93.45</v>
      </c>
      <c r="H93" s="233"/>
      <c r="I93" s="233"/>
      <c r="J93" s="274"/>
      <c r="K93" s="274"/>
      <c r="L93" s="274"/>
      <c r="M93" s="274"/>
      <c r="N93" s="274"/>
      <c r="O93" s="274"/>
      <c r="P93" s="274"/>
      <c r="Q93" s="274"/>
    </row>
    <row r="94" spans="1:17" s="278" customFormat="1" x14ac:dyDescent="0.2">
      <c r="A94" s="239"/>
      <c r="B94" s="392">
        <v>329</v>
      </c>
      <c r="C94" s="241"/>
      <c r="D94" s="239" t="s">
        <v>114</v>
      </c>
      <c r="E94" s="233">
        <f>SUM(E95)</f>
        <v>41.24</v>
      </c>
      <c r="F94" s="233">
        <f t="shared" ref="F94:G94" si="35">SUM(F95)</f>
        <v>0</v>
      </c>
      <c r="G94" s="233">
        <f t="shared" si="35"/>
        <v>0</v>
      </c>
      <c r="H94" s="233"/>
      <c r="I94" s="237"/>
      <c r="J94" s="277"/>
      <c r="K94" s="277"/>
      <c r="L94" s="277"/>
      <c r="M94" s="277"/>
      <c r="N94" s="277"/>
      <c r="O94" s="277"/>
      <c r="P94" s="277"/>
      <c r="Q94" s="277"/>
    </row>
    <row r="95" spans="1:17" s="275" customFormat="1" x14ac:dyDescent="0.2">
      <c r="A95" s="241"/>
      <c r="B95" s="391">
        <v>3293</v>
      </c>
      <c r="C95" s="241"/>
      <c r="D95" s="241" t="s">
        <v>205</v>
      </c>
      <c r="E95" s="237">
        <v>41.24</v>
      </c>
      <c r="F95" s="237">
        <v>0</v>
      </c>
      <c r="G95" s="237">
        <v>0</v>
      </c>
      <c r="H95" s="233"/>
      <c r="I95" s="233"/>
      <c r="J95" s="274"/>
      <c r="K95" s="274"/>
      <c r="L95" s="274"/>
      <c r="M95" s="274"/>
      <c r="N95" s="274"/>
      <c r="O95" s="274"/>
      <c r="P95" s="274"/>
      <c r="Q95" s="274"/>
    </row>
    <row r="96" spans="1:17" s="278" customFormat="1" x14ac:dyDescent="0.2">
      <c r="A96" s="256"/>
      <c r="B96" s="251"/>
      <c r="C96" s="252" t="s">
        <v>35</v>
      </c>
      <c r="D96" s="253" t="s">
        <v>53</v>
      </c>
      <c r="E96" s="254">
        <f>SUM(E85,E88)</f>
        <v>82.48</v>
      </c>
      <c r="F96" s="254">
        <f>SUM(F85,F88)</f>
        <v>5749.65</v>
      </c>
      <c r="G96" s="254">
        <f>SUM(G85,G88)</f>
        <v>2843.1000000000004</v>
      </c>
      <c r="H96" s="272">
        <f t="shared" si="20"/>
        <v>3447.0174587778856</v>
      </c>
      <c r="I96" s="272">
        <f t="shared" si="21"/>
        <v>49.448227283399873</v>
      </c>
      <c r="J96" s="277"/>
      <c r="K96" s="277"/>
      <c r="L96" s="277"/>
      <c r="M96" s="277"/>
      <c r="N96" s="277"/>
      <c r="O96" s="277"/>
      <c r="P96" s="277"/>
      <c r="Q96" s="277"/>
    </row>
    <row r="97" spans="1:17" s="275" customFormat="1" x14ac:dyDescent="0.2">
      <c r="A97" s="240"/>
      <c r="B97" s="234">
        <v>32</v>
      </c>
      <c r="C97" s="240"/>
      <c r="D97" s="11" t="s">
        <v>14</v>
      </c>
      <c r="E97" s="12">
        <f>SUM(E98,E100)</f>
        <v>1400.22</v>
      </c>
      <c r="F97" s="12">
        <f>SUM(F98,F100)</f>
        <v>3293.84</v>
      </c>
      <c r="G97" s="12">
        <f t="shared" ref="G97" si="36">SUM(G98,G100)</f>
        <v>593.84</v>
      </c>
      <c r="H97" s="248">
        <f>SUM(G97/E97*100)</f>
        <v>42.410478353401608</v>
      </c>
      <c r="I97" s="248">
        <f t="shared" si="21"/>
        <v>18.02880528501688</v>
      </c>
      <c r="J97" s="274"/>
      <c r="K97" s="274"/>
      <c r="L97" s="274"/>
      <c r="M97" s="274"/>
      <c r="N97" s="274"/>
      <c r="O97" s="274"/>
      <c r="P97" s="274"/>
      <c r="Q97" s="274"/>
    </row>
    <row r="98" spans="1:17" s="278" customFormat="1" ht="15.75" customHeight="1" x14ac:dyDescent="0.2">
      <c r="A98" s="239"/>
      <c r="B98" s="246">
        <v>321</v>
      </c>
      <c r="C98" s="279"/>
      <c r="D98" s="243" t="s">
        <v>112</v>
      </c>
      <c r="E98" s="233">
        <f t="shared" ref="E98:F98" si="37">SUM(E99)</f>
        <v>0</v>
      </c>
      <c r="F98" s="233">
        <f t="shared" si="37"/>
        <v>36.4</v>
      </c>
      <c r="G98" s="233">
        <f>SUM(G99)</f>
        <v>36.4</v>
      </c>
      <c r="H98" s="237"/>
      <c r="I98" s="237"/>
      <c r="J98" s="277"/>
      <c r="K98" s="277"/>
      <c r="L98" s="277"/>
      <c r="M98" s="277"/>
      <c r="N98" s="277"/>
      <c r="O98" s="277"/>
      <c r="P98" s="277"/>
      <c r="Q98" s="277"/>
    </row>
    <row r="99" spans="1:17" s="275" customFormat="1" x14ac:dyDescent="0.2">
      <c r="A99" s="241"/>
      <c r="B99" s="247">
        <v>3214</v>
      </c>
      <c r="C99" s="280"/>
      <c r="D99" s="244" t="s">
        <v>274</v>
      </c>
      <c r="E99" s="237">
        <v>0</v>
      </c>
      <c r="F99" s="237">
        <f>SUM(POSEBNI_DIO_!C64)</f>
        <v>36.4</v>
      </c>
      <c r="G99" s="237">
        <f>SUM(POSEBNI_DIO_!D64)</f>
        <v>36.4</v>
      </c>
      <c r="H99" s="237"/>
      <c r="I99" s="237"/>
      <c r="J99" s="274"/>
      <c r="K99" s="274"/>
      <c r="L99" s="274"/>
      <c r="M99" s="274"/>
      <c r="N99" s="274"/>
      <c r="O99" s="274"/>
      <c r="P99" s="274"/>
      <c r="Q99" s="274"/>
    </row>
    <row r="100" spans="1:17" s="275" customFormat="1" ht="15.75" customHeight="1" x14ac:dyDescent="0.2">
      <c r="A100" s="239"/>
      <c r="B100" s="246">
        <v>323</v>
      </c>
      <c r="C100" s="279"/>
      <c r="D100" s="243" t="s">
        <v>99</v>
      </c>
      <c r="E100" s="233">
        <f>SUM(E101:E104)</f>
        <v>1400.22</v>
      </c>
      <c r="F100" s="233">
        <f>SUM(F101:F104)</f>
        <v>3257.44</v>
      </c>
      <c r="G100" s="233">
        <f>SUM(G101:G104)</f>
        <v>557.44000000000005</v>
      </c>
      <c r="H100" s="237"/>
      <c r="I100" s="237"/>
      <c r="J100" s="274"/>
      <c r="K100" s="274"/>
      <c r="L100" s="274"/>
      <c r="M100" s="274"/>
      <c r="N100" s="274"/>
      <c r="O100" s="274"/>
      <c r="P100" s="274"/>
      <c r="Q100" s="274"/>
    </row>
    <row r="101" spans="1:17" s="275" customFormat="1" ht="15.75" customHeight="1" x14ac:dyDescent="0.2">
      <c r="A101" s="241"/>
      <c r="B101" s="247" t="s">
        <v>198</v>
      </c>
      <c r="C101" s="280"/>
      <c r="D101" s="244" t="s">
        <v>199</v>
      </c>
      <c r="E101" s="237">
        <v>0</v>
      </c>
      <c r="F101" s="237">
        <f>SUM(POSEBNI_DIO_!C66)</f>
        <v>0</v>
      </c>
      <c r="G101" s="237">
        <f>SUM(POSEBNI_DIO_!D66)</f>
        <v>0</v>
      </c>
      <c r="H101" s="237"/>
      <c r="I101" s="237"/>
      <c r="J101" s="274"/>
      <c r="K101" s="274"/>
      <c r="L101" s="274"/>
      <c r="M101" s="274"/>
      <c r="N101" s="274"/>
      <c r="O101" s="274"/>
      <c r="P101" s="274"/>
      <c r="Q101" s="274"/>
    </row>
    <row r="102" spans="1:17" s="278" customFormat="1" ht="15.75" customHeight="1" x14ac:dyDescent="0.2">
      <c r="A102" s="241"/>
      <c r="B102" s="247">
        <v>3236</v>
      </c>
      <c r="C102" s="280"/>
      <c r="D102" s="244" t="s">
        <v>132</v>
      </c>
      <c r="E102" s="237">
        <f>567.39*2</f>
        <v>1134.78</v>
      </c>
      <c r="F102" s="237">
        <f>SUM(POSEBNI_DIO_!C67)</f>
        <v>318.54000000000002</v>
      </c>
      <c r="G102" s="237">
        <f>SUM(POSEBNI_DIO_!D67)</f>
        <v>318.54000000000002</v>
      </c>
      <c r="H102" s="237"/>
      <c r="I102" s="237"/>
      <c r="J102" s="277"/>
      <c r="K102" s="277"/>
      <c r="L102" s="277"/>
      <c r="M102" s="277"/>
      <c r="N102" s="277"/>
      <c r="O102" s="277"/>
      <c r="P102" s="277"/>
      <c r="Q102" s="277"/>
    </row>
    <row r="103" spans="1:17" s="278" customFormat="1" ht="15.75" customHeight="1" x14ac:dyDescent="0.2">
      <c r="A103" s="241"/>
      <c r="B103" s="247">
        <v>3237</v>
      </c>
      <c r="C103" s="280"/>
      <c r="D103" s="244" t="s">
        <v>133</v>
      </c>
      <c r="E103" s="237"/>
      <c r="F103" s="237">
        <f>POSEBNI_DIO_!C68</f>
        <v>238.9</v>
      </c>
      <c r="G103" s="237">
        <f>POSEBNI_DIO_!D68</f>
        <v>238.9</v>
      </c>
      <c r="H103" s="237"/>
      <c r="I103" s="237"/>
      <c r="J103" s="277"/>
      <c r="K103" s="277"/>
      <c r="L103" s="277"/>
      <c r="M103" s="277"/>
      <c r="N103" s="277"/>
      <c r="O103" s="277"/>
      <c r="P103" s="277"/>
      <c r="Q103" s="277"/>
    </row>
    <row r="104" spans="1:17" s="275" customFormat="1" x14ac:dyDescent="0.2">
      <c r="A104" s="241"/>
      <c r="B104" s="390">
        <v>3239</v>
      </c>
      <c r="C104" s="280"/>
      <c r="D104" s="244" t="s">
        <v>134</v>
      </c>
      <c r="E104" s="237">
        <f>132.72*2</f>
        <v>265.44</v>
      </c>
      <c r="F104" s="237">
        <f>SUM(POSEBNI_DIO_!C69)</f>
        <v>2700</v>
      </c>
      <c r="G104" s="237">
        <f>SUM(POSEBNI_DIO_!D69)</f>
        <v>0</v>
      </c>
      <c r="H104" s="237"/>
      <c r="I104" s="237"/>
      <c r="J104" s="274"/>
      <c r="K104" s="274"/>
      <c r="L104" s="274"/>
      <c r="M104" s="274"/>
      <c r="N104" s="274"/>
      <c r="O104" s="274"/>
      <c r="P104" s="274"/>
      <c r="Q104" s="274"/>
    </row>
    <row r="105" spans="1:17" s="278" customFormat="1" x14ac:dyDescent="0.2">
      <c r="A105" s="256"/>
      <c r="B105" s="251"/>
      <c r="C105" s="252" t="s">
        <v>260</v>
      </c>
      <c r="D105" s="253" t="s">
        <v>273</v>
      </c>
      <c r="E105" s="254">
        <f>SUM(E97)</f>
        <v>1400.22</v>
      </c>
      <c r="F105" s="254">
        <f>SUM(F97)</f>
        <v>3293.84</v>
      </c>
      <c r="G105" s="254">
        <f>SUM(G97)</f>
        <v>593.84</v>
      </c>
      <c r="H105" s="272">
        <f t="shared" si="20"/>
        <v>42.410478353401608</v>
      </c>
      <c r="I105" s="272">
        <f t="shared" si="21"/>
        <v>18.02880528501688</v>
      </c>
      <c r="J105" s="277"/>
      <c r="K105" s="277"/>
      <c r="L105" s="277"/>
      <c r="M105" s="277"/>
      <c r="N105" s="277"/>
      <c r="O105" s="277"/>
      <c r="P105" s="277"/>
      <c r="Q105" s="277"/>
    </row>
    <row r="106" spans="1:17" s="288" customFormat="1" x14ac:dyDescent="0.2">
      <c r="A106" s="240"/>
      <c r="B106" s="234">
        <v>31</v>
      </c>
      <c r="C106" s="240"/>
      <c r="D106" s="11" t="s">
        <v>13</v>
      </c>
      <c r="E106" s="12">
        <f t="shared" ref="E106:F106" si="38">SUM(E107,E109,E111)</f>
        <v>448.06</v>
      </c>
      <c r="F106" s="12">
        <f t="shared" si="38"/>
        <v>10933.24</v>
      </c>
      <c r="G106" s="12">
        <f>SUM(G107,G109,G111)</f>
        <v>11086.369999999999</v>
      </c>
      <c r="H106" s="248">
        <f>SUM(G106/E106*100)</f>
        <v>2474.3047806097393</v>
      </c>
      <c r="I106" s="248">
        <f t="shared" ref="I106" si="39">SUM(G106/F106*100)</f>
        <v>101.40059122455922</v>
      </c>
      <c r="J106" s="287"/>
      <c r="K106" s="287"/>
      <c r="L106" s="287"/>
      <c r="M106" s="287"/>
      <c r="N106" s="287"/>
      <c r="O106" s="287"/>
      <c r="P106" s="287"/>
      <c r="Q106" s="287"/>
    </row>
    <row r="107" spans="1:17" s="275" customFormat="1" ht="15.75" customHeight="1" x14ac:dyDescent="0.2">
      <c r="A107" s="239"/>
      <c r="B107" s="246">
        <v>311</v>
      </c>
      <c r="C107" s="279"/>
      <c r="D107" s="243" t="s">
        <v>105</v>
      </c>
      <c r="E107" s="233">
        <f>SUM(E108)</f>
        <v>448.06</v>
      </c>
      <c r="F107" s="233">
        <f t="shared" ref="F107:G107" si="40">SUM(F108)</f>
        <v>10933.24</v>
      </c>
      <c r="G107" s="233">
        <f t="shared" si="40"/>
        <v>10726.13</v>
      </c>
      <c r="H107" s="237"/>
      <c r="I107" s="237"/>
      <c r="J107" s="274"/>
      <c r="K107" s="274"/>
      <c r="L107" s="274"/>
      <c r="M107" s="274"/>
      <c r="N107" s="274"/>
      <c r="O107" s="274"/>
      <c r="P107" s="274"/>
      <c r="Q107" s="274"/>
    </row>
    <row r="108" spans="1:17" s="275" customFormat="1" x14ac:dyDescent="0.2">
      <c r="A108" s="241"/>
      <c r="B108" s="236">
        <v>3111</v>
      </c>
      <c r="C108" s="241"/>
      <c r="D108" s="241" t="s">
        <v>185</v>
      </c>
      <c r="E108" s="237">
        <f>224.03*2</f>
        <v>448.06</v>
      </c>
      <c r="F108" s="237">
        <f>SUM(POSEBNI_DIO_!C79)</f>
        <v>10933.24</v>
      </c>
      <c r="G108" s="237">
        <f>SUM(POSEBNI_DIO_!D79)</f>
        <v>10726.13</v>
      </c>
      <c r="H108" s="237"/>
      <c r="I108" s="233"/>
      <c r="J108" s="274"/>
      <c r="K108" s="274"/>
      <c r="L108" s="274"/>
      <c r="M108" s="274"/>
      <c r="N108" s="274"/>
      <c r="O108" s="274"/>
      <c r="P108" s="274"/>
      <c r="Q108" s="274"/>
    </row>
    <row r="109" spans="1:17" s="275" customFormat="1" ht="15.75" customHeight="1" x14ac:dyDescent="0.2">
      <c r="A109" s="239"/>
      <c r="B109" s="246">
        <v>312</v>
      </c>
      <c r="C109" s="279"/>
      <c r="D109" s="243" t="s">
        <v>271</v>
      </c>
      <c r="E109" s="233">
        <f t="shared" ref="E109:F109" si="41">SUM(E110)</f>
        <v>0</v>
      </c>
      <c r="F109" s="233">
        <f t="shared" si="41"/>
        <v>0</v>
      </c>
      <c r="G109" s="233">
        <f>SUM(G110)</f>
        <v>360.24</v>
      </c>
      <c r="H109" s="237"/>
      <c r="I109" s="237"/>
      <c r="J109" s="274"/>
      <c r="K109" s="274"/>
      <c r="L109" s="274"/>
      <c r="M109" s="274"/>
      <c r="N109" s="274"/>
      <c r="O109" s="274"/>
      <c r="P109" s="274"/>
      <c r="Q109" s="274"/>
    </row>
    <row r="110" spans="1:17" s="275" customFormat="1" x14ac:dyDescent="0.2">
      <c r="A110" s="241"/>
      <c r="B110" s="236">
        <v>3121</v>
      </c>
      <c r="C110" s="241"/>
      <c r="D110" s="241" t="s">
        <v>271</v>
      </c>
      <c r="E110" s="237"/>
      <c r="F110" s="237">
        <f>POSEBNI_DIO_!C81</f>
        <v>0</v>
      </c>
      <c r="G110" s="237">
        <f>POSEBNI_DIO_!D81</f>
        <v>360.24</v>
      </c>
      <c r="H110" s="237"/>
      <c r="I110" s="233"/>
      <c r="J110" s="274"/>
      <c r="K110" s="274"/>
      <c r="L110" s="274"/>
      <c r="M110" s="274"/>
      <c r="N110" s="274"/>
      <c r="O110" s="274"/>
      <c r="P110" s="274"/>
      <c r="Q110" s="274"/>
    </row>
    <row r="111" spans="1:17" s="275" customFormat="1" ht="15.75" customHeight="1" x14ac:dyDescent="0.2">
      <c r="A111" s="239"/>
      <c r="B111" s="246">
        <v>313</v>
      </c>
      <c r="C111" s="279"/>
      <c r="D111" s="243" t="s">
        <v>106</v>
      </c>
      <c r="E111" s="233">
        <f>SUM(E112)</f>
        <v>0</v>
      </c>
      <c r="F111" s="233">
        <f t="shared" ref="F111:G111" si="42">SUM(F112)</f>
        <v>0</v>
      </c>
      <c r="G111" s="233">
        <f t="shared" si="42"/>
        <v>0</v>
      </c>
      <c r="H111" s="237"/>
      <c r="I111" s="237"/>
      <c r="J111" s="274"/>
      <c r="K111" s="274"/>
      <c r="L111" s="274"/>
      <c r="M111" s="274"/>
      <c r="N111" s="274"/>
      <c r="O111" s="274"/>
      <c r="P111" s="274"/>
      <c r="Q111" s="274"/>
    </row>
    <row r="112" spans="1:17" s="275" customFormat="1" x14ac:dyDescent="0.2">
      <c r="A112" s="241"/>
      <c r="B112" s="236">
        <v>3132</v>
      </c>
      <c r="C112" s="241"/>
      <c r="D112" s="241" t="s">
        <v>186</v>
      </c>
      <c r="E112" s="237">
        <f>SUM(POSEBNI_DIO_!B83)</f>
        <v>0</v>
      </c>
      <c r="F112" s="237">
        <f>SUM(POSEBNI_DIO_!C83)</f>
        <v>0</v>
      </c>
      <c r="G112" s="237">
        <f>SUM(POSEBNI_DIO_!D83)</f>
        <v>0</v>
      </c>
      <c r="H112" s="237"/>
      <c r="I112" s="233"/>
      <c r="J112" s="274"/>
      <c r="K112" s="274"/>
      <c r="L112" s="274"/>
      <c r="M112" s="274"/>
      <c r="N112" s="274"/>
      <c r="O112" s="274"/>
      <c r="P112" s="274"/>
      <c r="Q112" s="274"/>
    </row>
    <row r="113" spans="1:17" s="278" customFormat="1" x14ac:dyDescent="0.2">
      <c r="A113" s="240"/>
      <c r="B113" s="234">
        <v>32</v>
      </c>
      <c r="C113" s="240"/>
      <c r="D113" s="11" t="s">
        <v>14</v>
      </c>
      <c r="E113" s="12">
        <f>SUM(E114,E116,E118)</f>
        <v>1843.52</v>
      </c>
      <c r="F113" s="12">
        <f t="shared" ref="F113:G113" si="43">SUM(F114,F116,F118)</f>
        <v>461.88</v>
      </c>
      <c r="G113" s="12">
        <f t="shared" si="43"/>
        <v>451.38</v>
      </c>
      <c r="H113" s="248">
        <f t="shared" si="20"/>
        <v>24.484681478909913</v>
      </c>
      <c r="I113" s="248">
        <f t="shared" si="21"/>
        <v>97.726682255131209</v>
      </c>
      <c r="J113" s="277"/>
      <c r="K113" s="277"/>
      <c r="L113" s="277"/>
      <c r="M113" s="277"/>
      <c r="N113" s="277"/>
      <c r="O113" s="277"/>
      <c r="P113" s="277"/>
      <c r="Q113" s="277"/>
    </row>
    <row r="114" spans="1:17" s="278" customFormat="1" x14ac:dyDescent="0.2">
      <c r="A114" s="239"/>
      <c r="B114" s="13">
        <v>321</v>
      </c>
      <c r="C114" s="279"/>
      <c r="D114" s="243" t="s">
        <v>112</v>
      </c>
      <c r="E114" s="238">
        <f>SUM(E115)</f>
        <v>0</v>
      </c>
      <c r="F114" s="238">
        <f t="shared" ref="F114" si="44">SUM(F115)</f>
        <v>461.88</v>
      </c>
      <c r="G114" s="238">
        <f>SUM(G115)</f>
        <v>451.38</v>
      </c>
      <c r="H114" s="233"/>
      <c r="I114" s="233"/>
      <c r="J114" s="277"/>
      <c r="K114" s="277"/>
      <c r="L114" s="277"/>
      <c r="M114" s="277"/>
      <c r="N114" s="277"/>
      <c r="O114" s="277"/>
      <c r="P114" s="277"/>
      <c r="Q114" s="277"/>
    </row>
    <row r="115" spans="1:17" s="275" customFormat="1" x14ac:dyDescent="0.2">
      <c r="A115" s="241"/>
      <c r="B115" s="236" t="s">
        <v>189</v>
      </c>
      <c r="C115" s="241"/>
      <c r="D115" s="241" t="s">
        <v>111</v>
      </c>
      <c r="E115" s="237">
        <f>SUM(POSEBNI_DIO_!B86)</f>
        <v>0</v>
      </c>
      <c r="F115" s="237">
        <f>SUM(POSEBNI_DIO_!C86)</f>
        <v>461.88</v>
      </c>
      <c r="G115" s="237">
        <f>SUM(POSEBNI_DIO_!D86)</f>
        <v>451.38</v>
      </c>
      <c r="H115" s="237"/>
      <c r="I115" s="233"/>
      <c r="J115" s="274"/>
      <c r="K115" s="274"/>
      <c r="L115" s="274"/>
      <c r="M115" s="274"/>
      <c r="N115" s="274"/>
      <c r="O115" s="274"/>
      <c r="P115" s="274"/>
      <c r="Q115" s="274"/>
    </row>
    <row r="116" spans="1:17" s="278" customFormat="1" x14ac:dyDescent="0.2">
      <c r="A116" s="239"/>
      <c r="B116" s="13">
        <v>322</v>
      </c>
      <c r="C116" s="279"/>
      <c r="D116" s="243" t="s">
        <v>113</v>
      </c>
      <c r="E116" s="238">
        <f>SUM(E117)</f>
        <v>0</v>
      </c>
      <c r="F116" s="238">
        <f t="shared" ref="F116" si="45">SUM(F117)</f>
        <v>0</v>
      </c>
      <c r="G116" s="238">
        <f>SUM(G117)</f>
        <v>0</v>
      </c>
      <c r="H116" s="233"/>
      <c r="I116" s="233"/>
      <c r="J116" s="277"/>
      <c r="K116" s="277"/>
      <c r="L116" s="277"/>
      <c r="M116" s="277"/>
      <c r="N116" s="277"/>
      <c r="O116" s="277"/>
      <c r="P116" s="277"/>
      <c r="Q116" s="277"/>
    </row>
    <row r="117" spans="1:17" s="275" customFormat="1" x14ac:dyDescent="0.2">
      <c r="A117" s="241"/>
      <c r="B117" s="236" t="s">
        <v>190</v>
      </c>
      <c r="C117" s="241"/>
      <c r="D117" s="241" t="s">
        <v>130</v>
      </c>
      <c r="E117" s="237">
        <v>0</v>
      </c>
      <c r="F117" s="237"/>
      <c r="G117" s="237">
        <v>0</v>
      </c>
      <c r="H117" s="237"/>
      <c r="I117" s="233"/>
      <c r="J117" s="274"/>
      <c r="K117" s="274"/>
      <c r="L117" s="274"/>
      <c r="M117" s="274"/>
      <c r="N117" s="274"/>
      <c r="O117" s="274"/>
      <c r="P117" s="274"/>
      <c r="Q117" s="274"/>
    </row>
    <row r="118" spans="1:17" s="278" customFormat="1" x14ac:dyDescent="0.2">
      <c r="A118" s="239"/>
      <c r="B118" s="13" t="s">
        <v>289</v>
      </c>
      <c r="C118" s="279"/>
      <c r="D118" s="243" t="s">
        <v>99</v>
      </c>
      <c r="E118" s="238">
        <f>SUM(E119)</f>
        <v>1843.52</v>
      </c>
      <c r="F118" s="238">
        <f>SUM(F119)</f>
        <v>0</v>
      </c>
      <c r="G118" s="238">
        <f t="shared" ref="G118" si="46">SUM(G119)</f>
        <v>0</v>
      </c>
      <c r="H118" s="237"/>
      <c r="I118" s="233"/>
      <c r="J118" s="277"/>
      <c r="K118" s="277"/>
      <c r="L118" s="277"/>
      <c r="M118" s="277"/>
      <c r="N118" s="277"/>
      <c r="O118" s="277"/>
      <c r="P118" s="277"/>
      <c r="Q118" s="277"/>
    </row>
    <row r="119" spans="1:17" s="275" customFormat="1" x14ac:dyDescent="0.2">
      <c r="A119" s="241"/>
      <c r="B119" s="236" t="s">
        <v>203</v>
      </c>
      <c r="C119" s="241"/>
      <c r="D119" s="241" t="s">
        <v>290</v>
      </c>
      <c r="E119" s="237">
        <f>921.76*2</f>
        <v>1843.52</v>
      </c>
      <c r="F119" s="237">
        <v>0</v>
      </c>
      <c r="G119" s="237">
        <v>0</v>
      </c>
      <c r="H119" s="237"/>
      <c r="I119" s="233"/>
      <c r="J119" s="274"/>
      <c r="K119" s="274"/>
      <c r="L119" s="274"/>
      <c r="M119" s="274"/>
      <c r="N119" s="274"/>
      <c r="O119" s="274"/>
      <c r="P119" s="274"/>
      <c r="Q119" s="274"/>
    </row>
    <row r="120" spans="1:17" s="278" customFormat="1" ht="13.9" customHeight="1" x14ac:dyDescent="0.2">
      <c r="A120" s="256"/>
      <c r="B120" s="251"/>
      <c r="C120" s="252">
        <v>52</v>
      </c>
      <c r="D120" s="253" t="s">
        <v>31</v>
      </c>
      <c r="E120" s="254">
        <f>SUM(E113,E106)</f>
        <v>2291.58</v>
      </c>
      <c r="F120" s="254">
        <f>SUM(F113,F106)</f>
        <v>11395.119999999999</v>
      </c>
      <c r="G120" s="254">
        <f>SUM(G113,G106)</f>
        <v>11537.749999999998</v>
      </c>
      <c r="H120" s="272">
        <f>SUM(G120/E120*100)</f>
        <v>503.48449541364471</v>
      </c>
      <c r="I120" s="272">
        <f t="shared" si="21"/>
        <v>101.25167615610893</v>
      </c>
      <c r="J120" s="277"/>
      <c r="K120" s="277"/>
      <c r="L120" s="277"/>
      <c r="M120" s="277"/>
      <c r="N120" s="277"/>
      <c r="O120" s="277"/>
      <c r="P120" s="277"/>
      <c r="Q120" s="277"/>
    </row>
    <row r="121" spans="1:17" s="278" customFormat="1" x14ac:dyDescent="0.2">
      <c r="A121" s="240"/>
      <c r="B121" s="234" t="s">
        <v>291</v>
      </c>
      <c r="C121" s="240"/>
      <c r="D121" s="11" t="s">
        <v>14</v>
      </c>
      <c r="E121" s="12">
        <f>SUM(E122)</f>
        <v>663.6</v>
      </c>
      <c r="F121" s="12">
        <f t="shared" ref="F121:G121" si="47">SUM(F122)</f>
        <v>0</v>
      </c>
      <c r="G121" s="12">
        <f t="shared" si="47"/>
        <v>0</v>
      </c>
      <c r="H121" s="248">
        <f t="shared" ref="H121" si="48">SUM(G121/E121*100)</f>
        <v>0</v>
      </c>
      <c r="I121" s="248"/>
      <c r="J121" s="277"/>
      <c r="K121" s="277"/>
      <c r="L121" s="277"/>
      <c r="M121" s="277"/>
      <c r="N121" s="277"/>
      <c r="O121" s="277"/>
      <c r="P121" s="277"/>
      <c r="Q121" s="277"/>
    </row>
    <row r="122" spans="1:17" s="278" customFormat="1" x14ac:dyDescent="0.2">
      <c r="A122" s="239"/>
      <c r="B122" s="13" t="s">
        <v>289</v>
      </c>
      <c r="C122" s="279"/>
      <c r="D122" s="243" t="s">
        <v>113</v>
      </c>
      <c r="E122" s="238">
        <f>SUM(E123:E124)</f>
        <v>663.6</v>
      </c>
      <c r="F122" s="238">
        <f t="shared" ref="F122:G122" si="49">SUM(F123:F124)</f>
        <v>0</v>
      </c>
      <c r="G122" s="238">
        <f t="shared" si="49"/>
        <v>0</v>
      </c>
      <c r="H122" s="233"/>
      <c r="I122" s="233"/>
      <c r="J122" s="277"/>
      <c r="K122" s="277"/>
      <c r="L122" s="277"/>
      <c r="M122" s="277"/>
      <c r="N122" s="277"/>
      <c r="O122" s="277"/>
      <c r="P122" s="277"/>
      <c r="Q122" s="277"/>
    </row>
    <row r="123" spans="1:17" s="275" customFormat="1" x14ac:dyDescent="0.2">
      <c r="A123" s="241"/>
      <c r="B123" s="236" t="s">
        <v>292</v>
      </c>
      <c r="C123" s="241"/>
      <c r="D123" s="241" t="s">
        <v>133</v>
      </c>
      <c r="E123" s="237">
        <f>232.26*2</f>
        <v>464.52</v>
      </c>
      <c r="F123" s="237"/>
      <c r="G123" s="237"/>
      <c r="H123" s="237"/>
      <c r="I123" s="233"/>
      <c r="J123" s="274"/>
      <c r="K123" s="274"/>
      <c r="L123" s="274"/>
      <c r="M123" s="274"/>
      <c r="N123" s="274"/>
      <c r="O123" s="274"/>
      <c r="P123" s="274"/>
      <c r="Q123" s="274"/>
    </row>
    <row r="124" spans="1:17" s="275" customFormat="1" x14ac:dyDescent="0.2">
      <c r="A124" s="241"/>
      <c r="B124" s="236" t="s">
        <v>203</v>
      </c>
      <c r="C124" s="241"/>
      <c r="D124" s="241" t="s">
        <v>290</v>
      </c>
      <c r="E124" s="237">
        <f>99.54*2</f>
        <v>199.08</v>
      </c>
      <c r="F124" s="237"/>
      <c r="G124" s="237"/>
      <c r="H124" s="237"/>
      <c r="I124" s="233"/>
      <c r="J124" s="274"/>
      <c r="K124" s="274"/>
      <c r="L124" s="274"/>
      <c r="M124" s="274"/>
      <c r="N124" s="274"/>
      <c r="O124" s="274"/>
      <c r="P124" s="274"/>
      <c r="Q124" s="274"/>
    </row>
    <row r="125" spans="1:17" s="278" customFormat="1" ht="13.9" customHeight="1" x14ac:dyDescent="0.2">
      <c r="A125" s="256"/>
      <c r="B125" s="261"/>
      <c r="C125" s="252" t="s">
        <v>36</v>
      </c>
      <c r="D125" s="253" t="s">
        <v>37</v>
      </c>
      <c r="E125" s="254">
        <f>SUM(E121)</f>
        <v>663.6</v>
      </c>
      <c r="F125" s="254">
        <f t="shared" ref="F125:G125" si="50">SUM(F121)</f>
        <v>0</v>
      </c>
      <c r="G125" s="254">
        <f t="shared" si="50"/>
        <v>0</v>
      </c>
      <c r="H125" s="272">
        <f>SUM(G125/E125*100)</f>
        <v>0</v>
      </c>
      <c r="I125" s="272"/>
      <c r="J125" s="277"/>
      <c r="K125" s="277"/>
      <c r="L125" s="277"/>
      <c r="M125" s="277"/>
      <c r="N125" s="277"/>
      <c r="O125" s="277"/>
      <c r="P125" s="277"/>
      <c r="Q125" s="277"/>
    </row>
    <row r="126" spans="1:17" s="275" customFormat="1" x14ac:dyDescent="0.2">
      <c r="A126" s="8">
        <v>4</v>
      </c>
      <c r="B126" s="246"/>
      <c r="C126" s="13"/>
      <c r="D126" s="9" t="s">
        <v>18</v>
      </c>
      <c r="E126" s="14">
        <f>SUM(E135,E143)</f>
        <v>8147.6</v>
      </c>
      <c r="F126" s="14">
        <f>SUM(F135,F143)</f>
        <v>9601.5700000000015</v>
      </c>
      <c r="G126" s="14">
        <f>SUM(G135,G143)</f>
        <v>9559.630000000001</v>
      </c>
      <c r="H126" s="237">
        <f t="shared" ref="H126:H144" si="51">SUM(G126/E126*100)</f>
        <v>117.33062496931612</v>
      </c>
      <c r="I126" s="237">
        <f t="shared" ref="I126:I144" si="52">SUM(G126/F126*100)</f>
        <v>99.563196435582924</v>
      </c>
      <c r="J126" s="274"/>
      <c r="K126" s="274"/>
      <c r="L126" s="274"/>
      <c r="M126" s="274"/>
      <c r="N126" s="274"/>
      <c r="O126" s="274"/>
      <c r="P126" s="274"/>
      <c r="Q126" s="274"/>
    </row>
    <row r="127" spans="1:17" s="290" customFormat="1" x14ac:dyDescent="0.2">
      <c r="A127" s="240"/>
      <c r="B127" s="234">
        <v>42</v>
      </c>
      <c r="C127" s="240"/>
      <c r="D127" s="11" t="s">
        <v>15</v>
      </c>
      <c r="E127" s="12">
        <f>SUM(E128,E131,E133)</f>
        <v>7497.54</v>
      </c>
      <c r="F127" s="12">
        <f t="shared" ref="F127:G127" si="53">SUM(F128,F131,F133)</f>
        <v>9351.7800000000007</v>
      </c>
      <c r="G127" s="12">
        <f t="shared" si="53"/>
        <v>9309.84</v>
      </c>
      <c r="H127" s="248">
        <f t="shared" si="51"/>
        <v>124.17192839251274</v>
      </c>
      <c r="I127" s="248">
        <f t="shared" si="52"/>
        <v>99.551529227590891</v>
      </c>
      <c r="J127" s="289"/>
      <c r="K127" s="289"/>
      <c r="L127" s="289"/>
      <c r="M127" s="289"/>
      <c r="N127" s="289"/>
      <c r="O127" s="289"/>
      <c r="P127" s="289"/>
      <c r="Q127" s="289"/>
    </row>
    <row r="128" spans="1:17" s="278" customFormat="1" x14ac:dyDescent="0.2">
      <c r="A128" s="239"/>
      <c r="B128" s="13">
        <v>422</v>
      </c>
      <c r="C128" s="279"/>
      <c r="D128" s="243" t="s">
        <v>102</v>
      </c>
      <c r="E128" s="238">
        <f>SUM(E129:E130)</f>
        <v>7117.82</v>
      </c>
      <c r="F128" s="238">
        <f>SUM(F129:F130)</f>
        <v>8471.0300000000007</v>
      </c>
      <c r="G128" s="238">
        <f>SUM(G129:G130)</f>
        <v>8429.09</v>
      </c>
      <c r="H128" s="233"/>
      <c r="I128" s="233"/>
      <c r="J128" s="277"/>
      <c r="K128" s="277"/>
      <c r="L128" s="277"/>
      <c r="M128" s="277"/>
      <c r="N128" s="277"/>
      <c r="O128" s="277"/>
      <c r="P128" s="277"/>
      <c r="Q128" s="277"/>
    </row>
    <row r="129" spans="1:17" s="275" customFormat="1" x14ac:dyDescent="0.2">
      <c r="A129" s="241"/>
      <c r="B129" s="236" t="s">
        <v>210</v>
      </c>
      <c r="C129" s="241"/>
      <c r="D129" s="241" t="s">
        <v>211</v>
      </c>
      <c r="E129" s="237">
        <f>1696.61*2</f>
        <v>3393.22</v>
      </c>
      <c r="F129" s="237">
        <f>SUM(POSEBNI_DIO_!C100)</f>
        <v>6895.08</v>
      </c>
      <c r="G129" s="237">
        <f>SUM(POSEBNI_DIO_!D100)</f>
        <v>6853.1399999999994</v>
      </c>
      <c r="H129" s="237"/>
      <c r="I129" s="233"/>
      <c r="J129" s="274"/>
      <c r="K129" s="274"/>
      <c r="L129" s="274"/>
      <c r="M129" s="274"/>
      <c r="N129" s="274"/>
      <c r="O129" s="274"/>
      <c r="P129" s="274"/>
      <c r="Q129" s="274"/>
    </row>
    <row r="130" spans="1:17" s="275" customFormat="1" x14ac:dyDescent="0.2">
      <c r="A130" s="241"/>
      <c r="B130" s="236" t="s">
        <v>281</v>
      </c>
      <c r="C130" s="241"/>
      <c r="D130" s="241" t="s">
        <v>275</v>
      </c>
      <c r="E130" s="237">
        <f>1862.3*2</f>
        <v>3724.6</v>
      </c>
      <c r="F130" s="237">
        <f>SUM(POSEBNI_DIO_!C101)</f>
        <v>1575.95</v>
      </c>
      <c r="G130" s="237">
        <f>SUM(POSEBNI_DIO_!D101)</f>
        <v>1575.95</v>
      </c>
      <c r="H130" s="237"/>
      <c r="I130" s="233"/>
      <c r="J130" s="274"/>
      <c r="K130" s="274"/>
      <c r="L130" s="274"/>
      <c r="M130" s="274"/>
      <c r="N130" s="274"/>
      <c r="O130" s="274"/>
      <c r="P130" s="274"/>
      <c r="Q130" s="274"/>
    </row>
    <row r="131" spans="1:17" s="278" customFormat="1" x14ac:dyDescent="0.2">
      <c r="A131" s="239"/>
      <c r="B131" s="13" t="s">
        <v>285</v>
      </c>
      <c r="C131" s="279"/>
      <c r="D131" s="243" t="s">
        <v>109</v>
      </c>
      <c r="E131" s="238">
        <f>SUM(E132)</f>
        <v>379.72</v>
      </c>
      <c r="F131" s="238">
        <f t="shared" ref="F131:G131" si="54">SUM(F132)</f>
        <v>0</v>
      </c>
      <c r="G131" s="238">
        <f t="shared" si="54"/>
        <v>0</v>
      </c>
      <c r="H131" s="237"/>
      <c r="I131" s="233"/>
      <c r="J131" s="277"/>
      <c r="K131" s="277"/>
      <c r="L131" s="277"/>
      <c r="M131" s="277"/>
      <c r="N131" s="277"/>
      <c r="O131" s="277"/>
      <c r="P131" s="277"/>
      <c r="Q131" s="277"/>
    </row>
    <row r="132" spans="1:17" s="275" customFormat="1" x14ac:dyDescent="0.2">
      <c r="A132" s="241"/>
      <c r="B132" s="236" t="s">
        <v>287</v>
      </c>
      <c r="C132" s="241"/>
      <c r="D132" s="241" t="s">
        <v>286</v>
      </c>
      <c r="E132" s="237">
        <f>189.86*2</f>
        <v>379.72</v>
      </c>
      <c r="F132" s="237">
        <v>0</v>
      </c>
      <c r="G132" s="237">
        <v>0</v>
      </c>
      <c r="H132" s="237"/>
      <c r="I132" s="233"/>
      <c r="J132" s="274"/>
      <c r="K132" s="274"/>
      <c r="L132" s="274"/>
      <c r="M132" s="274"/>
      <c r="N132" s="274"/>
      <c r="O132" s="274"/>
      <c r="P132" s="274"/>
      <c r="Q132" s="274"/>
    </row>
    <row r="133" spans="1:17" s="278" customFormat="1" x14ac:dyDescent="0.2">
      <c r="A133" s="239"/>
      <c r="B133" s="13">
        <v>426</v>
      </c>
      <c r="C133" s="279"/>
      <c r="D133" s="243" t="s">
        <v>110</v>
      </c>
      <c r="E133" s="238">
        <f>SUM(E134)</f>
        <v>0</v>
      </c>
      <c r="F133" s="238">
        <f>SUM(F134)</f>
        <v>880.75</v>
      </c>
      <c r="G133" s="238">
        <f>SUM(G134)</f>
        <v>880.75</v>
      </c>
      <c r="H133" s="233"/>
      <c r="I133" s="233"/>
      <c r="J133" s="277"/>
      <c r="K133" s="277"/>
      <c r="L133" s="277"/>
      <c r="M133" s="277"/>
      <c r="N133" s="277"/>
      <c r="O133" s="277"/>
      <c r="P133" s="277"/>
      <c r="Q133" s="277"/>
    </row>
    <row r="134" spans="1:17" s="275" customFormat="1" x14ac:dyDescent="0.2">
      <c r="A134" s="241"/>
      <c r="B134" s="236">
        <v>4262</v>
      </c>
      <c r="C134" s="241"/>
      <c r="D134" s="241" t="s">
        <v>278</v>
      </c>
      <c r="E134" s="237"/>
      <c r="F134" s="237">
        <f>SUM(POSEBNI_DIO_!C103)</f>
        <v>880.75</v>
      </c>
      <c r="G134" s="237">
        <f>SUM(POSEBNI_DIO_!D103)</f>
        <v>880.75</v>
      </c>
      <c r="H134" s="237"/>
      <c r="I134" s="233"/>
      <c r="J134" s="274"/>
      <c r="K134" s="274"/>
      <c r="L134" s="274"/>
      <c r="M134" s="274"/>
      <c r="N134" s="274"/>
      <c r="O134" s="274"/>
      <c r="P134" s="274"/>
      <c r="Q134" s="274"/>
    </row>
    <row r="135" spans="1:17" s="283" customFormat="1" x14ac:dyDescent="0.2">
      <c r="A135" s="260"/>
      <c r="B135" s="261"/>
      <c r="C135" s="252">
        <v>11</v>
      </c>
      <c r="D135" s="253" t="s">
        <v>41</v>
      </c>
      <c r="E135" s="258">
        <f>SUM(E127)</f>
        <v>7497.54</v>
      </c>
      <c r="F135" s="258">
        <f>SUM(F127)</f>
        <v>9351.7800000000007</v>
      </c>
      <c r="G135" s="258">
        <f>SUM(G127)</f>
        <v>9309.84</v>
      </c>
      <c r="H135" s="273">
        <f>SUM(G135/E135*100)</f>
        <v>124.17192839251274</v>
      </c>
      <c r="I135" s="273">
        <f>SUM(G135/F135*100)</f>
        <v>99.551529227590891</v>
      </c>
      <c r="J135" s="282"/>
      <c r="K135" s="282"/>
      <c r="L135" s="282"/>
      <c r="M135" s="282"/>
      <c r="N135" s="282"/>
      <c r="O135" s="282"/>
      <c r="P135" s="282"/>
      <c r="Q135" s="282"/>
    </row>
    <row r="136" spans="1:17" s="290" customFormat="1" x14ac:dyDescent="0.2">
      <c r="A136" s="240"/>
      <c r="B136" s="234">
        <v>42</v>
      </c>
      <c r="C136" s="240"/>
      <c r="D136" s="11" t="s">
        <v>15</v>
      </c>
      <c r="E136" s="12">
        <f>SUM(E137,E141)</f>
        <v>650.06000000000006</v>
      </c>
      <c r="F136" s="12">
        <f t="shared" ref="F136" si="55">SUM(F137,F141)</f>
        <v>249.79</v>
      </c>
      <c r="G136" s="12">
        <f>SUM(G137,G141)</f>
        <v>249.79</v>
      </c>
      <c r="H136" s="248">
        <f t="shared" si="51"/>
        <v>38.42568378303541</v>
      </c>
      <c r="I136" s="248">
        <f t="shared" si="52"/>
        <v>100</v>
      </c>
      <c r="J136" s="289"/>
      <c r="K136" s="289"/>
      <c r="L136" s="289"/>
      <c r="M136" s="289"/>
      <c r="N136" s="289"/>
      <c r="O136" s="289"/>
      <c r="P136" s="289"/>
      <c r="Q136" s="289"/>
    </row>
    <row r="137" spans="1:17" s="278" customFormat="1" x14ac:dyDescent="0.2">
      <c r="A137" s="239"/>
      <c r="B137" s="13">
        <v>422</v>
      </c>
      <c r="C137" s="279"/>
      <c r="D137" s="243" t="s">
        <v>102</v>
      </c>
      <c r="E137" s="238">
        <f t="shared" ref="E137:F137" si="56">SUM(E138:E140)</f>
        <v>603.32000000000005</v>
      </c>
      <c r="F137" s="238">
        <f t="shared" si="56"/>
        <v>249.79</v>
      </c>
      <c r="G137" s="238">
        <f>SUM(G138:G140)</f>
        <v>249.79</v>
      </c>
      <c r="H137" s="233"/>
      <c r="I137" s="233"/>
      <c r="J137" s="277"/>
      <c r="K137" s="277"/>
      <c r="L137" s="277"/>
      <c r="M137" s="277"/>
      <c r="N137" s="277"/>
      <c r="O137" s="277"/>
      <c r="P137" s="277"/>
      <c r="Q137" s="277"/>
    </row>
    <row r="138" spans="1:17" s="275" customFormat="1" x14ac:dyDescent="0.2">
      <c r="A138" s="241"/>
      <c r="B138" s="236" t="s">
        <v>210</v>
      </c>
      <c r="C138" s="241"/>
      <c r="D138" s="241" t="s">
        <v>211</v>
      </c>
      <c r="E138" s="237">
        <v>0</v>
      </c>
      <c r="F138" s="237">
        <f>SUM(POSEBNI_DIO_!C73)</f>
        <v>233.25</v>
      </c>
      <c r="G138" s="237">
        <f>SUM(POSEBNI_DIO_!D73)</f>
        <v>233.25</v>
      </c>
      <c r="H138" s="237"/>
      <c r="I138" s="233"/>
      <c r="J138" s="274"/>
      <c r="K138" s="274"/>
      <c r="L138" s="274"/>
      <c r="M138" s="274"/>
      <c r="N138" s="274"/>
      <c r="O138" s="274"/>
      <c r="P138" s="274"/>
      <c r="Q138" s="274"/>
    </row>
    <row r="139" spans="1:17" s="275" customFormat="1" x14ac:dyDescent="0.2">
      <c r="A139" s="241"/>
      <c r="B139" s="236" t="s">
        <v>209</v>
      </c>
      <c r="C139" s="241"/>
      <c r="D139" s="241" t="s">
        <v>288</v>
      </c>
      <c r="E139" s="237">
        <f>301.66*2</f>
        <v>603.32000000000005</v>
      </c>
      <c r="F139" s="237">
        <v>0</v>
      </c>
      <c r="G139" s="237">
        <v>0</v>
      </c>
      <c r="H139" s="237"/>
      <c r="I139" s="233"/>
      <c r="J139" s="274"/>
      <c r="K139" s="274"/>
      <c r="L139" s="274"/>
      <c r="M139" s="274"/>
      <c r="N139" s="274"/>
      <c r="O139" s="274"/>
      <c r="P139" s="274"/>
      <c r="Q139" s="274"/>
    </row>
    <row r="140" spans="1:17" s="275" customFormat="1" x14ac:dyDescent="0.2">
      <c r="A140" s="241"/>
      <c r="B140" s="236" t="s">
        <v>281</v>
      </c>
      <c r="C140" s="241"/>
      <c r="D140" s="241" t="s">
        <v>275</v>
      </c>
      <c r="E140" s="237"/>
      <c r="F140" s="237">
        <f>SUM(POSEBNI_DIO_!C74)</f>
        <v>16.54</v>
      </c>
      <c r="G140" s="237">
        <f>SUM(POSEBNI_DIO_!D74)</f>
        <v>16.54</v>
      </c>
      <c r="H140" s="237"/>
      <c r="I140" s="233"/>
      <c r="J140" s="274"/>
      <c r="K140" s="274"/>
      <c r="L140" s="274"/>
      <c r="M140" s="274"/>
      <c r="N140" s="274"/>
      <c r="O140" s="274"/>
      <c r="P140" s="274"/>
      <c r="Q140" s="274"/>
    </row>
    <row r="141" spans="1:17" s="278" customFormat="1" x14ac:dyDescent="0.2">
      <c r="A141" s="239"/>
      <c r="B141" s="13" t="s">
        <v>285</v>
      </c>
      <c r="C141" s="279"/>
      <c r="D141" s="243" t="s">
        <v>109</v>
      </c>
      <c r="E141" s="238">
        <f>SUM(E142)</f>
        <v>46.74</v>
      </c>
      <c r="F141" s="238">
        <f t="shared" ref="F141:G141" si="57">SUM(F142)</f>
        <v>0</v>
      </c>
      <c r="G141" s="238">
        <f t="shared" si="57"/>
        <v>0</v>
      </c>
      <c r="H141" s="233"/>
      <c r="I141" s="233"/>
      <c r="J141" s="277"/>
      <c r="K141" s="277"/>
      <c r="L141" s="277"/>
      <c r="M141" s="277"/>
      <c r="N141" s="277"/>
      <c r="O141" s="277"/>
      <c r="P141" s="277"/>
      <c r="Q141" s="277"/>
    </row>
    <row r="142" spans="1:17" s="275" customFormat="1" x14ac:dyDescent="0.2">
      <c r="A142" s="241"/>
      <c r="B142" s="236" t="s">
        <v>287</v>
      </c>
      <c r="C142" s="241"/>
      <c r="D142" s="241" t="s">
        <v>286</v>
      </c>
      <c r="E142" s="237">
        <f>23.37*2</f>
        <v>46.74</v>
      </c>
      <c r="F142" s="237">
        <v>0</v>
      </c>
      <c r="G142" s="237">
        <v>0</v>
      </c>
      <c r="H142" s="237"/>
      <c r="I142" s="233"/>
      <c r="J142" s="274"/>
      <c r="K142" s="274"/>
      <c r="L142" s="274"/>
      <c r="M142" s="274"/>
      <c r="N142" s="274"/>
      <c r="O142" s="274"/>
      <c r="P142" s="274"/>
      <c r="Q142" s="274"/>
    </row>
    <row r="143" spans="1:17" s="283" customFormat="1" x14ac:dyDescent="0.2">
      <c r="A143" s="260"/>
      <c r="B143" s="261"/>
      <c r="C143" s="252" t="s">
        <v>260</v>
      </c>
      <c r="D143" s="253" t="s">
        <v>42</v>
      </c>
      <c r="E143" s="258">
        <f>SUM(E137,E141)</f>
        <v>650.06000000000006</v>
      </c>
      <c r="F143" s="258">
        <f t="shared" ref="F143:G143" si="58">SUM(F137,F141)</f>
        <v>249.79</v>
      </c>
      <c r="G143" s="258">
        <f t="shared" si="58"/>
        <v>249.79</v>
      </c>
      <c r="H143" s="273">
        <f t="shared" si="51"/>
        <v>38.42568378303541</v>
      </c>
      <c r="I143" s="273">
        <f t="shared" si="52"/>
        <v>100</v>
      </c>
      <c r="J143" s="282"/>
      <c r="K143" s="282"/>
      <c r="L143" s="282"/>
      <c r="M143" s="282"/>
      <c r="N143" s="282"/>
      <c r="O143" s="282"/>
      <c r="P143" s="282"/>
      <c r="Q143" s="282"/>
    </row>
    <row r="144" spans="1:17" x14ac:dyDescent="0.2">
      <c r="A144" s="432" t="s">
        <v>25</v>
      </c>
      <c r="B144" s="432"/>
      <c r="C144" s="432"/>
      <c r="D144" s="432"/>
      <c r="E144" s="238">
        <f>SUM(E126,E44)</f>
        <v>379594.37999999995</v>
      </c>
      <c r="F144" s="238">
        <f>SUM(F126,F44)</f>
        <v>429827.05000000005</v>
      </c>
      <c r="G144" s="238">
        <f>SUM(G126,G44)</f>
        <v>408890.85000000003</v>
      </c>
      <c r="H144" s="237">
        <f t="shared" si="51"/>
        <v>107.71783554856636</v>
      </c>
      <c r="I144" s="237">
        <f t="shared" si="52"/>
        <v>95.12915718077771</v>
      </c>
    </row>
  </sheetData>
  <mergeCells count="7">
    <mergeCell ref="A1:I1"/>
    <mergeCell ref="A144:D144"/>
    <mergeCell ref="A4:D4"/>
    <mergeCell ref="A41:I41"/>
    <mergeCell ref="A43:D43"/>
    <mergeCell ref="A35:D35"/>
    <mergeCell ref="A2:I2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I53 I84 I96:I97 I113 I126:I127 I136 H143:I144 H6 H15:I15 H25:I25 H30:I30 H34:I35 H44:I45 H46 H18:I18 H51:H52 H96 H105:I105 H136 H126:H127 H54:H56 H84 H113 I120 H14 I5 H29" evalError="1"/>
    <ignoredError sqref="B55:B56 C84 C96 B101 B117 B129 B138 B7:B10 C25 C29 B31:B33 C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zoomScaleNormal="100" workbookViewId="0">
      <selection activeCell="A21" sqref="A21"/>
    </sheetView>
  </sheetViews>
  <sheetFormatPr defaultColWidth="9.140625" defaultRowHeight="15.75" x14ac:dyDescent="0.25"/>
  <cols>
    <col min="1" max="1" width="36.42578125" style="215" customWidth="1"/>
    <col min="2" max="2" width="17.5703125" style="215" customWidth="1"/>
    <col min="3" max="3" width="14.42578125" style="215" customWidth="1"/>
    <col min="4" max="6" width="16.28515625" style="215" customWidth="1"/>
    <col min="7" max="16384" width="9.140625" style="215"/>
  </cols>
  <sheetData>
    <row r="1" spans="1:6" x14ac:dyDescent="0.25">
      <c r="A1" s="438"/>
      <c r="B1" s="438"/>
      <c r="C1" s="438"/>
      <c r="D1" s="438"/>
      <c r="E1" s="438"/>
      <c r="F1" s="438"/>
    </row>
    <row r="2" spans="1:6" ht="15.75" customHeight="1" x14ac:dyDescent="0.25">
      <c r="A2" s="438" t="s">
        <v>293</v>
      </c>
      <c r="B2" s="438"/>
      <c r="C2" s="438"/>
      <c r="D2" s="438"/>
      <c r="E2" s="438"/>
      <c r="F2" s="438"/>
    </row>
    <row r="3" spans="1:6" x14ac:dyDescent="0.25">
      <c r="A3" s="438" t="s">
        <v>27</v>
      </c>
      <c r="B3" s="438"/>
      <c r="C3" s="438"/>
      <c r="D3" s="438"/>
      <c r="E3" s="439"/>
      <c r="F3" s="439"/>
    </row>
    <row r="4" spans="1:6" x14ac:dyDescent="0.25">
      <c r="A4" s="197"/>
      <c r="B4" s="197"/>
      <c r="C4" s="197"/>
      <c r="D4" s="197"/>
      <c r="E4" s="198"/>
      <c r="F4" s="198"/>
    </row>
    <row r="5" spans="1:6" x14ac:dyDescent="0.25">
      <c r="A5" s="438" t="s">
        <v>46</v>
      </c>
      <c r="B5" s="438"/>
      <c r="C5" s="438"/>
      <c r="D5" s="440"/>
      <c r="E5" s="440"/>
      <c r="F5" s="440"/>
    </row>
    <row r="6" spans="1:6" x14ac:dyDescent="0.25">
      <c r="A6" s="197"/>
      <c r="B6" s="197"/>
      <c r="C6" s="197"/>
      <c r="D6" s="197"/>
      <c r="E6" s="198"/>
      <c r="F6" s="198"/>
    </row>
    <row r="7" spans="1:6" x14ac:dyDescent="0.25">
      <c r="A7" s="438" t="s">
        <v>47</v>
      </c>
      <c r="B7" s="438"/>
      <c r="C7" s="438"/>
      <c r="D7" s="439"/>
      <c r="E7" s="439"/>
      <c r="F7" s="439"/>
    </row>
    <row r="8" spans="1:6" x14ac:dyDescent="0.25">
      <c r="A8" s="197"/>
      <c r="B8" s="197"/>
      <c r="C8" s="197"/>
      <c r="D8" s="197"/>
      <c r="E8" s="198"/>
      <c r="F8" s="198"/>
    </row>
    <row r="9" spans="1:6" s="302" customFormat="1" ht="30" x14ac:dyDescent="0.25">
      <c r="A9" s="301" t="s">
        <v>48</v>
      </c>
      <c r="B9" s="300" t="s">
        <v>182</v>
      </c>
      <c r="C9" s="300" t="s">
        <v>183</v>
      </c>
      <c r="D9" s="300" t="s">
        <v>184</v>
      </c>
      <c r="E9" s="300" t="s">
        <v>195</v>
      </c>
      <c r="F9" s="300" t="s">
        <v>195</v>
      </c>
    </row>
    <row r="10" spans="1:6" s="305" customFormat="1" ht="11.25" x14ac:dyDescent="0.2">
      <c r="A10" s="303">
        <v>1</v>
      </c>
      <c r="B10" s="304">
        <v>2</v>
      </c>
      <c r="C10" s="304">
        <v>3</v>
      </c>
      <c r="D10" s="304">
        <v>4</v>
      </c>
      <c r="E10" s="304" t="s">
        <v>213</v>
      </c>
      <c r="F10" s="304" t="s">
        <v>212</v>
      </c>
    </row>
    <row r="11" spans="1:6" s="386" customFormat="1" ht="15" x14ac:dyDescent="0.25">
      <c r="A11" s="384" t="s">
        <v>263</v>
      </c>
      <c r="B11" s="385">
        <f>SUM(B12)</f>
        <v>379594.39113411598</v>
      </c>
      <c r="C11" s="385">
        <f t="shared" ref="C11:D11" si="0">SUM(C12)</f>
        <v>429827.05000000005</v>
      </c>
      <c r="D11" s="385">
        <f t="shared" si="0"/>
        <v>408891.06000000006</v>
      </c>
      <c r="E11" s="308">
        <f>SUM(D11/B11*100)</f>
        <v>107.7178877112368</v>
      </c>
      <c r="F11" s="308">
        <f>SUM(D11/C11*100)</f>
        <v>95.129206037637701</v>
      </c>
    </row>
    <row r="12" spans="1:6" s="302" customFormat="1" ht="17.25" customHeight="1" x14ac:dyDescent="0.25">
      <c r="A12" s="306" t="s">
        <v>280</v>
      </c>
      <c r="B12" s="307">
        <f>SUM(B13:B13)</f>
        <v>379594.39113411598</v>
      </c>
      <c r="C12" s="307">
        <f>SUM(C13:C13)</f>
        <v>429827.05000000005</v>
      </c>
      <c r="D12" s="307">
        <f>SUM(D13:D13)</f>
        <v>408891.06000000006</v>
      </c>
      <c r="E12" s="308">
        <f>SUM(D12/B12*100)</f>
        <v>107.7178877112368</v>
      </c>
      <c r="F12" s="308">
        <f>SUM(D12/C12*100)</f>
        <v>95.129206037637701</v>
      </c>
    </row>
    <row r="13" spans="1:6" s="302" customFormat="1" ht="15" x14ac:dyDescent="0.25">
      <c r="A13" s="306" t="s">
        <v>279</v>
      </c>
      <c r="B13" s="308">
        <f>189797.195567058*2</f>
        <v>379594.39113411598</v>
      </c>
      <c r="C13" s="308">
        <f>POSEBNI_DIO_!C6</f>
        <v>429827.05000000005</v>
      </c>
      <c r="D13" s="308">
        <f>POSEBNI_DIO_!D6</f>
        <v>408891.06000000006</v>
      </c>
      <c r="E13" s="308">
        <f t="shared" ref="E13" si="1">SUM(D13/B13*100)</f>
        <v>107.7178877112368</v>
      </c>
      <c r="F13" s="308">
        <f t="shared" ref="F13" si="2">SUM(D13/C13*100)</f>
        <v>95.129206037637701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ignoredErrors>
    <ignoredError sqref="E11:F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A16" zoomScaleNormal="100" workbookViewId="0">
      <selection sqref="A1:I1"/>
    </sheetView>
  </sheetViews>
  <sheetFormatPr defaultColWidth="8.85546875" defaultRowHeight="15.75" x14ac:dyDescent="0.25"/>
  <cols>
    <col min="1" max="1" width="8" style="189" customWidth="1"/>
    <col min="2" max="2" width="8.7109375" style="189" customWidth="1"/>
    <col min="3" max="3" width="5.42578125" style="189" bestFit="1" customWidth="1"/>
    <col min="4" max="4" width="32.28515625" style="189" customWidth="1"/>
    <col min="5" max="9" width="13.28515625" style="189" customWidth="1"/>
    <col min="10" max="16384" width="8.85546875" style="189"/>
  </cols>
  <sheetData>
    <row r="1" spans="1:9" x14ac:dyDescent="0.25">
      <c r="A1" s="412" t="s">
        <v>293</v>
      </c>
      <c r="B1" s="412"/>
      <c r="C1" s="412"/>
      <c r="D1" s="412"/>
      <c r="E1" s="412"/>
      <c r="F1" s="412"/>
      <c r="G1" s="412"/>
      <c r="H1" s="412"/>
      <c r="I1" s="412"/>
    </row>
    <row r="2" spans="1:9" ht="21" customHeight="1" x14ac:dyDescent="0.25">
      <c r="A2" s="441" t="s">
        <v>27</v>
      </c>
      <c r="B2" s="441"/>
      <c r="C2" s="441"/>
      <c r="D2" s="441"/>
      <c r="E2" s="441"/>
      <c r="F2" s="441"/>
      <c r="G2" s="441"/>
      <c r="H2" s="442"/>
      <c r="I2" s="442"/>
    </row>
    <row r="3" spans="1:9" x14ac:dyDescent="0.25">
      <c r="A3" s="199"/>
      <c r="B3" s="199"/>
      <c r="C3" s="199"/>
      <c r="D3" s="199"/>
      <c r="E3" s="199"/>
      <c r="F3" s="199"/>
      <c r="G3" s="199"/>
      <c r="H3" s="200"/>
      <c r="I3" s="200"/>
    </row>
    <row r="4" spans="1:9" x14ac:dyDescent="0.25">
      <c r="A4" s="441" t="s">
        <v>177</v>
      </c>
      <c r="B4" s="443"/>
      <c r="C4" s="443"/>
      <c r="D4" s="443"/>
      <c r="E4" s="443"/>
      <c r="F4" s="443"/>
      <c r="G4" s="443"/>
      <c r="H4" s="443"/>
      <c r="I4" s="443"/>
    </row>
    <row r="5" spans="1:9" s="309" customFormat="1" ht="45" x14ac:dyDescent="0.25">
      <c r="A5" s="326" t="s">
        <v>30</v>
      </c>
      <c r="B5" s="326" t="s">
        <v>44</v>
      </c>
      <c r="C5" s="326" t="s">
        <v>40</v>
      </c>
      <c r="D5" s="326" t="s">
        <v>11</v>
      </c>
      <c r="E5" s="326" t="s">
        <v>182</v>
      </c>
      <c r="F5" s="326" t="s">
        <v>183</v>
      </c>
      <c r="G5" s="326" t="s">
        <v>184</v>
      </c>
      <c r="H5" s="326" t="s">
        <v>195</v>
      </c>
      <c r="I5" s="326" t="s">
        <v>195</v>
      </c>
    </row>
    <row r="6" spans="1:9" s="310" customFormat="1" ht="12" x14ac:dyDescent="0.2">
      <c r="A6" s="444">
        <v>1</v>
      </c>
      <c r="B6" s="444"/>
      <c r="C6" s="444"/>
      <c r="D6" s="444"/>
      <c r="E6" s="312">
        <v>2</v>
      </c>
      <c r="F6" s="312">
        <v>3</v>
      </c>
      <c r="G6" s="312">
        <v>4</v>
      </c>
      <c r="H6" s="312" t="s">
        <v>213</v>
      </c>
      <c r="I6" s="312" t="s">
        <v>212</v>
      </c>
    </row>
    <row r="7" spans="1:9" ht="31.5" x14ac:dyDescent="0.25">
      <c r="A7" s="311">
        <v>8</v>
      </c>
      <c r="B7" s="313"/>
      <c r="C7" s="313"/>
      <c r="D7" s="313" t="s">
        <v>178</v>
      </c>
      <c r="E7" s="327">
        <f>SUM(E8)</f>
        <v>0</v>
      </c>
      <c r="F7" s="327">
        <f t="shared" ref="F7:G7" si="0">SUM(F8)</f>
        <v>0</v>
      </c>
      <c r="G7" s="327">
        <f t="shared" si="0"/>
        <v>0</v>
      </c>
      <c r="H7" s="314"/>
      <c r="I7" s="314"/>
    </row>
    <row r="8" spans="1:9" s="336" customFormat="1" x14ac:dyDescent="0.25">
      <c r="A8" s="335"/>
      <c r="B8" s="335">
        <v>84</v>
      </c>
      <c r="C8" s="322"/>
      <c r="D8" s="323" t="s">
        <v>179</v>
      </c>
      <c r="E8" s="328">
        <f>SUM(E9)</f>
        <v>0</v>
      </c>
      <c r="F8" s="328">
        <f>SUM(F9)</f>
        <v>0</v>
      </c>
      <c r="G8" s="328">
        <f t="shared" ref="G8:G9" si="1">SUM(G9)</f>
        <v>0</v>
      </c>
      <c r="H8" s="314"/>
      <c r="I8" s="314"/>
    </row>
    <row r="9" spans="1:9" s="336" customFormat="1" ht="47.25" x14ac:dyDescent="0.25">
      <c r="A9" s="335"/>
      <c r="B9" s="335" t="s">
        <v>232</v>
      </c>
      <c r="C9" s="322"/>
      <c r="D9" s="328" t="s">
        <v>233</v>
      </c>
      <c r="E9" s="328">
        <f>SUM(E10)</f>
        <v>0</v>
      </c>
      <c r="F9" s="328">
        <f>SUM(F10)</f>
        <v>0</v>
      </c>
      <c r="G9" s="328">
        <f t="shared" si="1"/>
        <v>0</v>
      </c>
      <c r="H9" s="314"/>
      <c r="I9" s="314"/>
    </row>
    <row r="10" spans="1:9" ht="31.5" x14ac:dyDescent="0.25">
      <c r="A10" s="324"/>
      <c r="B10" s="324">
        <v>8422</v>
      </c>
      <c r="C10" s="325"/>
      <c r="D10" s="329" t="s">
        <v>231</v>
      </c>
      <c r="E10" s="329">
        <v>0</v>
      </c>
      <c r="F10" s="329">
        <v>0</v>
      </c>
      <c r="G10" s="216">
        <v>0</v>
      </c>
      <c r="H10" s="333"/>
      <c r="I10" s="333"/>
    </row>
    <row r="11" spans="1:9" s="201" customFormat="1" ht="31.5" x14ac:dyDescent="0.25">
      <c r="A11" s="316"/>
      <c r="B11" s="317"/>
      <c r="C11" s="318">
        <v>81</v>
      </c>
      <c r="D11" s="319" t="s">
        <v>126</v>
      </c>
      <c r="E11" s="334">
        <f>SUM(E7)</f>
        <v>0</v>
      </c>
      <c r="F11" s="334">
        <f t="shared" ref="F11:G11" si="2">SUM(F7)</f>
        <v>0</v>
      </c>
      <c r="G11" s="334">
        <f t="shared" si="2"/>
        <v>0</v>
      </c>
      <c r="H11" s="333"/>
      <c r="I11" s="333"/>
    </row>
    <row r="12" spans="1:9" ht="31.5" x14ac:dyDescent="0.25">
      <c r="A12" s="320">
        <v>5</v>
      </c>
      <c r="B12" s="321"/>
      <c r="C12" s="322"/>
      <c r="D12" s="323" t="s">
        <v>180</v>
      </c>
      <c r="E12" s="328">
        <f>SUM(E13)</f>
        <v>0</v>
      </c>
      <c r="F12" s="328">
        <f t="shared" ref="F12:G14" si="3">SUM(F13)</f>
        <v>0</v>
      </c>
      <c r="G12" s="328">
        <f t="shared" si="3"/>
        <v>0</v>
      </c>
      <c r="H12" s="314"/>
      <c r="I12" s="314"/>
    </row>
    <row r="13" spans="1:9" s="336" customFormat="1" ht="31.5" x14ac:dyDescent="0.25">
      <c r="A13" s="335"/>
      <c r="B13" s="335">
        <v>54</v>
      </c>
      <c r="C13" s="322"/>
      <c r="D13" s="323" t="s">
        <v>181</v>
      </c>
      <c r="E13" s="328">
        <f>SUM(E14)</f>
        <v>0</v>
      </c>
      <c r="F13" s="328">
        <f>SUM(F14)</f>
        <v>0</v>
      </c>
      <c r="G13" s="328">
        <f t="shared" si="3"/>
        <v>0</v>
      </c>
      <c r="H13" s="314"/>
      <c r="I13" s="314"/>
    </row>
    <row r="14" spans="1:9" s="336" customFormat="1" ht="63" x14ac:dyDescent="0.25">
      <c r="A14" s="335"/>
      <c r="B14" s="335" t="s">
        <v>234</v>
      </c>
      <c r="C14" s="322"/>
      <c r="D14" s="328" t="s">
        <v>235</v>
      </c>
      <c r="E14" s="328">
        <f>SUM(E15)</f>
        <v>0</v>
      </c>
      <c r="F14" s="328">
        <f>SUM(F15)</f>
        <v>0</v>
      </c>
      <c r="G14" s="328">
        <f t="shared" si="3"/>
        <v>0</v>
      </c>
      <c r="H14" s="314"/>
      <c r="I14" s="314"/>
    </row>
    <row r="15" spans="1:9" ht="47.25" x14ac:dyDescent="0.25">
      <c r="A15" s="324"/>
      <c r="B15" s="324" t="s">
        <v>236</v>
      </c>
      <c r="C15" s="325"/>
      <c r="D15" s="329" t="s">
        <v>237</v>
      </c>
      <c r="E15" s="329">
        <v>0</v>
      </c>
      <c r="F15" s="329">
        <v>0</v>
      </c>
      <c r="G15" s="216">
        <v>0</v>
      </c>
      <c r="H15" s="333"/>
      <c r="I15" s="333"/>
    </row>
    <row r="16" spans="1:9" s="201" customFormat="1" x14ac:dyDescent="0.25">
      <c r="A16" s="316"/>
      <c r="B16" s="317"/>
      <c r="C16" s="318">
        <v>11</v>
      </c>
      <c r="D16" s="319" t="s">
        <v>39</v>
      </c>
      <c r="E16" s="334"/>
      <c r="F16" s="334"/>
      <c r="G16" s="334"/>
      <c r="H16" s="333"/>
      <c r="I16" s="333"/>
    </row>
    <row r="17" spans="1:9" x14ac:dyDescent="0.25">
      <c r="H17" s="373"/>
      <c r="I17" s="373"/>
    </row>
    <row r="18" spans="1:9" ht="45" x14ac:dyDescent="0.25">
      <c r="A18" s="374" t="s">
        <v>30</v>
      </c>
      <c r="B18" s="374" t="s">
        <v>44</v>
      </c>
      <c r="C18" s="374" t="s">
        <v>40</v>
      </c>
      <c r="D18" s="375" t="s">
        <v>11</v>
      </c>
      <c r="E18" s="326" t="s">
        <v>182</v>
      </c>
      <c r="F18" s="326" t="s">
        <v>183</v>
      </c>
      <c r="G18" s="326" t="s">
        <v>184</v>
      </c>
      <c r="H18" s="326" t="s">
        <v>195</v>
      </c>
      <c r="I18" s="326" t="s">
        <v>195</v>
      </c>
    </row>
    <row r="19" spans="1:9" x14ac:dyDescent="0.25">
      <c r="A19" s="444">
        <v>1</v>
      </c>
      <c r="B19" s="444"/>
      <c r="C19" s="444"/>
      <c r="D19" s="444"/>
      <c r="E19" s="312">
        <v>2</v>
      </c>
      <c r="F19" s="312">
        <v>3</v>
      </c>
      <c r="G19" s="312">
        <v>4</v>
      </c>
      <c r="H19" s="312" t="s">
        <v>213</v>
      </c>
      <c r="I19" s="312" t="s">
        <v>212</v>
      </c>
    </row>
    <row r="20" spans="1:9" x14ac:dyDescent="0.25">
      <c r="A20" s="376" t="s">
        <v>242</v>
      </c>
      <c r="B20" s="376"/>
      <c r="C20" s="376"/>
      <c r="D20" s="376"/>
      <c r="E20" s="377">
        <f t="shared" ref="E20:G20" si="4">SUM(E21:E28)</f>
        <v>3094.2690291326567</v>
      </c>
      <c r="F20" s="377">
        <f t="shared" si="4"/>
        <v>23077.35</v>
      </c>
      <c r="G20" s="377">
        <f t="shared" si="4"/>
        <v>23077.35</v>
      </c>
      <c r="H20" s="377">
        <f t="shared" ref="H20" si="5">SUM(G20/E20*100)</f>
        <v>745.80942325072249</v>
      </c>
      <c r="I20" s="377">
        <f t="shared" ref="I20" si="6">SUM(G20/F20*100)</f>
        <v>100</v>
      </c>
    </row>
    <row r="21" spans="1:9" x14ac:dyDescent="0.25">
      <c r="A21" s="374"/>
      <c r="B21" s="374"/>
      <c r="C21" s="378" t="s">
        <v>258</v>
      </c>
      <c r="D21" s="379" t="s">
        <v>243</v>
      </c>
      <c r="E21" s="380"/>
      <c r="F21" s="380"/>
      <c r="G21" s="380"/>
      <c r="H21" s="383"/>
      <c r="I21" s="383"/>
    </row>
    <row r="22" spans="1:9" x14ac:dyDescent="0.25">
      <c r="A22" s="374"/>
      <c r="B22" s="374"/>
      <c r="C22" s="378" t="s">
        <v>239</v>
      </c>
      <c r="D22" s="379" t="s">
        <v>244</v>
      </c>
      <c r="E22" s="380"/>
      <c r="F22" s="380"/>
      <c r="G22" s="380"/>
      <c r="H22" s="383"/>
      <c r="I22" s="383"/>
    </row>
    <row r="23" spans="1:9" x14ac:dyDescent="0.25">
      <c r="A23" s="374"/>
      <c r="B23" s="374"/>
      <c r="C23" s="378" t="s">
        <v>245</v>
      </c>
      <c r="D23" s="379" t="s">
        <v>246</v>
      </c>
      <c r="E23" s="380"/>
      <c r="F23" s="380">
        <v>8167.08</v>
      </c>
      <c r="G23" s="380">
        <v>8167.08</v>
      </c>
      <c r="H23" s="383"/>
      <c r="I23" s="383">
        <f t="shared" ref="I23:I34" si="7">SUM(G23/F23*100)</f>
        <v>100</v>
      </c>
    </row>
    <row r="24" spans="1:9" x14ac:dyDescent="0.25">
      <c r="A24" s="374"/>
      <c r="B24" s="374"/>
      <c r="C24" s="378" t="s">
        <v>247</v>
      </c>
      <c r="D24" s="379" t="s">
        <v>248</v>
      </c>
      <c r="E24" s="380">
        <f>19937.9/7.5345</f>
        <v>2646.2140818899729</v>
      </c>
      <c r="F24" s="380">
        <v>3515.15</v>
      </c>
      <c r="G24" s="380">
        <v>3515.15</v>
      </c>
      <c r="H24" s="383">
        <f t="shared" ref="H24:H34" si="8">SUM(G24/E24*100)</f>
        <v>132.83694709573223</v>
      </c>
      <c r="I24" s="383">
        <f t="shared" si="7"/>
        <v>100</v>
      </c>
    </row>
    <row r="25" spans="1:9" x14ac:dyDescent="0.25">
      <c r="A25" s="374"/>
      <c r="B25" s="374"/>
      <c r="C25" s="378" t="s">
        <v>249</v>
      </c>
      <c r="D25" s="379" t="s">
        <v>250</v>
      </c>
      <c r="E25" s="380">
        <f>3375.87/7.5345</f>
        <v>448.05494724268362</v>
      </c>
      <c r="F25" s="380">
        <v>11395.12</v>
      </c>
      <c r="G25" s="380">
        <v>11395.12</v>
      </c>
      <c r="H25" s="383">
        <f t="shared" si="8"/>
        <v>2543.2416425987972</v>
      </c>
      <c r="I25" s="383">
        <f t="shared" si="7"/>
        <v>100</v>
      </c>
    </row>
    <row r="26" spans="1:9" x14ac:dyDescent="0.25">
      <c r="A26" s="374"/>
      <c r="B26" s="374"/>
      <c r="C26" s="378" t="s">
        <v>251</v>
      </c>
      <c r="D26" s="379" t="s">
        <v>252</v>
      </c>
      <c r="E26" s="380"/>
      <c r="F26" s="380"/>
      <c r="G26" s="380"/>
      <c r="H26" s="383"/>
      <c r="I26" s="383"/>
    </row>
    <row r="27" spans="1:9" ht="47.25" x14ac:dyDescent="0.25">
      <c r="A27" s="374"/>
      <c r="B27" s="374"/>
      <c r="C27" s="378" t="s">
        <v>253</v>
      </c>
      <c r="D27" s="381" t="s">
        <v>254</v>
      </c>
      <c r="E27" s="380"/>
      <c r="F27" s="380"/>
      <c r="G27" s="380"/>
      <c r="H27" s="383"/>
      <c r="I27" s="383"/>
    </row>
    <row r="28" spans="1:9" x14ac:dyDescent="0.25">
      <c r="A28" s="374"/>
      <c r="B28" s="374"/>
      <c r="C28" s="378" t="s">
        <v>255</v>
      </c>
      <c r="D28" s="379" t="s">
        <v>256</v>
      </c>
      <c r="E28" s="380"/>
      <c r="F28" s="380"/>
      <c r="G28" s="380"/>
      <c r="H28" s="383"/>
      <c r="I28" s="383"/>
    </row>
    <row r="29" spans="1:9" x14ac:dyDescent="0.25">
      <c r="A29" s="376" t="s">
        <v>257</v>
      </c>
      <c r="B29" s="376"/>
      <c r="C29" s="376"/>
      <c r="D29" s="376"/>
      <c r="E29" s="377">
        <f>SUM(E30:E37)</f>
        <v>23077</v>
      </c>
      <c r="F29" s="377">
        <f t="shared" ref="F29:G29" si="9">SUM(F30:F37)</f>
        <v>23077.35</v>
      </c>
      <c r="G29" s="377">
        <f t="shared" si="9"/>
        <v>33400.830000000024</v>
      </c>
      <c r="H29" s="377">
        <f t="shared" si="8"/>
        <v>144.73644754517497</v>
      </c>
      <c r="I29" s="377">
        <f t="shared" si="7"/>
        <v>144.73425241633041</v>
      </c>
    </row>
    <row r="30" spans="1:9" x14ac:dyDescent="0.25">
      <c r="A30" s="382"/>
      <c r="B30" s="382"/>
      <c r="C30" s="378" t="s">
        <v>258</v>
      </c>
      <c r="D30" s="379" t="s">
        <v>243</v>
      </c>
      <c r="E30" s="383"/>
      <c r="F30" s="383"/>
      <c r="G30" s="383">
        <f>G21+'RAČUN PRIHODA I RASHODA'!G34-'RAČUN PRIHODA I RASHODA'!G84-'RAČUN PRIHODA I RASHODA'!G135</f>
        <v>2.5465851649641991E-11</v>
      </c>
      <c r="H30" s="383"/>
      <c r="I30" s="383"/>
    </row>
    <row r="31" spans="1:9" x14ac:dyDescent="0.25">
      <c r="A31" s="382"/>
      <c r="B31" s="382"/>
      <c r="C31" s="378" t="s">
        <v>239</v>
      </c>
      <c r="D31" s="379" t="s">
        <v>244</v>
      </c>
      <c r="E31" s="383"/>
      <c r="F31" s="383"/>
      <c r="G31" s="383"/>
      <c r="H31" s="383"/>
      <c r="I31" s="383"/>
    </row>
    <row r="32" spans="1:9" x14ac:dyDescent="0.25">
      <c r="A32" s="382"/>
      <c r="B32" s="382"/>
      <c r="C32" s="378" t="s">
        <v>245</v>
      </c>
      <c r="D32" s="379" t="s">
        <v>246</v>
      </c>
      <c r="E32" s="383">
        <v>8167</v>
      </c>
      <c r="F32" s="380">
        <v>8167.08</v>
      </c>
      <c r="G32" s="383">
        <f>G23+'RAČUN PRIHODA I RASHODA'!G25-'RAČUN PRIHODA I RASHODA'!G96</f>
        <v>11579.78</v>
      </c>
      <c r="H32" s="383">
        <f t="shared" si="8"/>
        <v>141.78743724745931</v>
      </c>
      <c r="I32" s="383">
        <f t="shared" si="7"/>
        <v>141.78604837959224</v>
      </c>
    </row>
    <row r="33" spans="1:9" x14ac:dyDescent="0.25">
      <c r="A33" s="382"/>
      <c r="B33" s="382"/>
      <c r="C33" s="378" t="s">
        <v>247</v>
      </c>
      <c r="D33" s="379" t="s">
        <v>248</v>
      </c>
      <c r="E33" s="383">
        <v>3515</v>
      </c>
      <c r="F33" s="380">
        <v>3515.15</v>
      </c>
      <c r="G33" s="383">
        <f>G24+'RAČUN PRIHODA I RASHODA'!G18-'RAČUN PRIHODA I RASHODA'!G105-'RAČUN PRIHODA I RASHODA'!G143</f>
        <v>6802.5199999999995</v>
      </c>
      <c r="H33" s="383">
        <f t="shared" si="8"/>
        <v>193.52830725462303</v>
      </c>
      <c r="I33" s="383">
        <f t="shared" si="7"/>
        <v>193.52004893105556</v>
      </c>
    </row>
    <row r="34" spans="1:9" x14ac:dyDescent="0.25">
      <c r="A34" s="382"/>
      <c r="B34" s="382"/>
      <c r="C34" s="378" t="s">
        <v>249</v>
      </c>
      <c r="D34" s="379" t="s">
        <v>250</v>
      </c>
      <c r="E34" s="383">
        <v>11395</v>
      </c>
      <c r="F34" s="380">
        <v>11395.12</v>
      </c>
      <c r="G34" s="383">
        <f>G25+'RAČUN PRIHODA I RASHODA'!G14-'RAČUN PRIHODA I RASHODA'!G120</f>
        <v>15018.53</v>
      </c>
      <c r="H34" s="383">
        <f t="shared" si="8"/>
        <v>131.79929793769199</v>
      </c>
      <c r="I34" s="383">
        <f t="shared" si="7"/>
        <v>131.79790998251883</v>
      </c>
    </row>
    <row r="35" spans="1:9" x14ac:dyDescent="0.25">
      <c r="A35" s="382"/>
      <c r="B35" s="382"/>
      <c r="C35" s="378" t="s">
        <v>251</v>
      </c>
      <c r="D35" s="379" t="s">
        <v>259</v>
      </c>
      <c r="E35" s="383"/>
      <c r="F35" s="383"/>
      <c r="G35" s="383"/>
      <c r="H35" s="383"/>
      <c r="I35" s="383"/>
    </row>
    <row r="36" spans="1:9" ht="47.25" x14ac:dyDescent="0.25">
      <c r="A36" s="382"/>
      <c r="B36" s="382"/>
      <c r="C36" s="378" t="s">
        <v>253</v>
      </c>
      <c r="D36" s="381" t="s">
        <v>254</v>
      </c>
      <c r="E36" s="383"/>
      <c r="F36" s="383"/>
      <c r="G36" s="383"/>
      <c r="H36" s="383"/>
      <c r="I36" s="383"/>
    </row>
    <row r="37" spans="1:9" x14ac:dyDescent="0.25">
      <c r="A37" s="382"/>
      <c r="B37" s="382"/>
      <c r="C37" s="378" t="s">
        <v>255</v>
      </c>
      <c r="D37" s="379" t="s">
        <v>256</v>
      </c>
      <c r="E37" s="383"/>
      <c r="F37" s="383"/>
      <c r="G37" s="383"/>
      <c r="H37" s="383"/>
      <c r="I37" s="383"/>
    </row>
  </sheetData>
  <mergeCells count="5">
    <mergeCell ref="A2:I2"/>
    <mergeCell ref="A4:I4"/>
    <mergeCell ref="A6:D6"/>
    <mergeCell ref="A1:I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H20:I20 H24:I25 I23 H29:I29 H32:I34" evalError="1"/>
    <ignoredError sqref="B9 B14:B15 C22:C28 C30:C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3"/>
  <sheetViews>
    <sheetView topLeftCell="A85" zoomScaleNormal="100" workbookViewId="0">
      <selection activeCell="E13" sqref="E13"/>
    </sheetView>
  </sheetViews>
  <sheetFormatPr defaultColWidth="9.140625" defaultRowHeight="15.75" x14ac:dyDescent="0.25"/>
  <cols>
    <col min="1" max="1" width="12.42578125" style="228" customWidth="1"/>
    <col min="2" max="2" width="52.28515625" style="228" customWidth="1"/>
    <col min="3" max="3" width="11.85546875" style="228" bestFit="1" customWidth="1"/>
    <col min="4" max="4" width="11.42578125" style="228" bestFit="1" customWidth="1"/>
    <col min="5" max="5" width="9.42578125" style="208" customWidth="1"/>
    <col min="6" max="7" width="15.140625" style="208" customWidth="1"/>
    <col min="8" max="9" width="10.7109375" style="208" bestFit="1" customWidth="1"/>
    <col min="10" max="10" width="10.28515625" style="208" bestFit="1" customWidth="1"/>
    <col min="11" max="11" width="11.85546875" style="208" bestFit="1" customWidth="1"/>
    <col min="12" max="12" width="15.42578125" style="208" customWidth="1"/>
    <col min="13" max="13" width="9.140625" style="208" customWidth="1"/>
    <col min="14" max="16384" width="9.140625" style="208"/>
  </cols>
  <sheetData>
    <row r="1" spans="1:7" ht="15.75" customHeight="1" x14ac:dyDescent="0.25">
      <c r="A1" s="412" t="s">
        <v>293</v>
      </c>
      <c r="B1" s="412"/>
      <c r="C1" s="412"/>
      <c r="D1" s="412"/>
      <c r="E1" s="412"/>
      <c r="F1" s="190"/>
      <c r="G1" s="219"/>
    </row>
    <row r="2" spans="1:7" s="202" customFormat="1" ht="15.75" customHeight="1" x14ac:dyDescent="0.25">
      <c r="A2" s="412" t="s">
        <v>56</v>
      </c>
      <c r="B2" s="412"/>
      <c r="C2" s="412"/>
      <c r="D2" s="412"/>
      <c r="E2" s="412"/>
    </row>
    <row r="3" spans="1:7" s="214" customFormat="1" x14ac:dyDescent="0.25">
      <c r="A3" s="217"/>
      <c r="B3" s="217"/>
      <c r="C3" s="218"/>
      <c r="D3" s="218"/>
      <c r="E3" s="220"/>
      <c r="F3" s="220"/>
      <c r="G3" s="220"/>
    </row>
    <row r="4" spans="1:7" s="214" customFormat="1" ht="47.25" x14ac:dyDescent="0.25">
      <c r="A4" s="337" t="s">
        <v>49</v>
      </c>
      <c r="B4" s="337" t="s">
        <v>50</v>
      </c>
      <c r="C4" s="338" t="s">
        <v>183</v>
      </c>
      <c r="D4" s="338" t="s">
        <v>184</v>
      </c>
      <c r="E4" s="338" t="s">
        <v>195</v>
      </c>
      <c r="F4" s="220"/>
      <c r="G4" s="220"/>
    </row>
    <row r="5" spans="1:7" s="232" customFormat="1" ht="11.25" x14ac:dyDescent="0.2">
      <c r="A5" s="445">
        <v>1</v>
      </c>
      <c r="B5" s="445"/>
      <c r="C5" s="339">
        <v>2</v>
      </c>
      <c r="D5" s="339">
        <v>3</v>
      </c>
      <c r="E5" s="340" t="s">
        <v>238</v>
      </c>
      <c r="F5" s="231"/>
      <c r="G5" s="231"/>
    </row>
    <row r="6" spans="1:7" s="214" customFormat="1" x14ac:dyDescent="0.25">
      <c r="A6" s="341" t="s">
        <v>265</v>
      </c>
      <c r="B6" s="342" t="s">
        <v>266</v>
      </c>
      <c r="C6" s="343">
        <f>SUM(C7,C87)</f>
        <v>429827.05000000005</v>
      </c>
      <c r="D6" s="343">
        <f>SUM(D7,D87)</f>
        <v>408891.06000000006</v>
      </c>
      <c r="E6" s="343">
        <f>SUM(D6/C6*100)</f>
        <v>95.129206037637701</v>
      </c>
      <c r="F6" s="220"/>
      <c r="G6" s="220"/>
    </row>
    <row r="7" spans="1:7" s="214" customFormat="1" x14ac:dyDescent="0.25">
      <c r="A7" s="341" t="s">
        <v>264</v>
      </c>
      <c r="B7" s="344" t="s">
        <v>267</v>
      </c>
      <c r="C7" s="343">
        <f>SUM(C8,C45,C60,C75)</f>
        <v>397386.54000000004</v>
      </c>
      <c r="D7" s="343">
        <f>SUM(D8,D45,D60,D75)</f>
        <v>376520.89000000007</v>
      </c>
      <c r="E7" s="343">
        <f>SUM(D7/C7*100)</f>
        <v>94.749281140725103</v>
      </c>
      <c r="F7" s="220"/>
      <c r="G7" s="220"/>
    </row>
    <row r="8" spans="1:7" s="222" customFormat="1" ht="15" customHeight="1" x14ac:dyDescent="0.25">
      <c r="A8" s="345">
        <v>11</v>
      </c>
      <c r="B8" s="345" t="s">
        <v>39</v>
      </c>
      <c r="C8" s="346">
        <f>SUM(C9)</f>
        <v>376698.14</v>
      </c>
      <c r="D8" s="346">
        <f>SUM(D9)</f>
        <v>361296.20000000007</v>
      </c>
      <c r="E8" s="346">
        <f>SUM(D8/C8*100)</f>
        <v>95.911331019579777</v>
      </c>
      <c r="F8" s="220"/>
      <c r="G8" s="221"/>
    </row>
    <row r="9" spans="1:7" s="223" customFormat="1" x14ac:dyDescent="0.2">
      <c r="A9" s="347">
        <v>3</v>
      </c>
      <c r="B9" s="348" t="s">
        <v>43</v>
      </c>
      <c r="C9" s="349">
        <f>SUM(C10,C18,C42)</f>
        <v>376698.14</v>
      </c>
      <c r="D9" s="349">
        <f>SUM(D10,D18,D42)</f>
        <v>361296.20000000007</v>
      </c>
      <c r="E9" s="349">
        <f>SUM(D9/C9*100)</f>
        <v>95.911331019579777</v>
      </c>
      <c r="F9" s="220"/>
    </row>
    <row r="10" spans="1:7" s="214" customFormat="1" ht="14.25" customHeight="1" x14ac:dyDescent="0.25">
      <c r="A10" s="350">
        <v>31</v>
      </c>
      <c r="B10" s="351" t="s">
        <v>13</v>
      </c>
      <c r="C10" s="352">
        <f>SUM(C11,C14,C16)</f>
        <v>295376.23</v>
      </c>
      <c r="D10" s="352">
        <f>SUM(D11,D14,D16)</f>
        <v>285181.97000000003</v>
      </c>
      <c r="E10" s="352">
        <f>SUM(D10/C10*100)</f>
        <v>96.54872025416536</v>
      </c>
      <c r="F10" s="220"/>
      <c r="G10" s="220"/>
    </row>
    <row r="11" spans="1:7" s="224" customFormat="1" ht="14.25" customHeight="1" x14ac:dyDescent="0.25">
      <c r="A11" s="330">
        <v>311</v>
      </c>
      <c r="B11" s="353" t="s">
        <v>105</v>
      </c>
      <c r="C11" s="354">
        <f>SUM(C12:C13)</f>
        <v>243860.43</v>
      </c>
      <c r="D11" s="354">
        <f>SUM(D12:D13)</f>
        <v>235331.07</v>
      </c>
      <c r="E11" s="354"/>
      <c r="F11" s="220"/>
      <c r="G11" s="225"/>
    </row>
    <row r="12" spans="1:7" ht="14.25" customHeight="1" x14ac:dyDescent="0.25">
      <c r="A12" s="331">
        <v>3111</v>
      </c>
      <c r="B12" s="355" t="s">
        <v>185</v>
      </c>
      <c r="C12" s="356">
        <v>243293.44</v>
      </c>
      <c r="D12" s="356">
        <v>234891.91</v>
      </c>
      <c r="E12" s="356"/>
      <c r="F12" s="220"/>
      <c r="G12" s="229"/>
    </row>
    <row r="13" spans="1:7" ht="14.25" customHeight="1" x14ac:dyDescent="0.25">
      <c r="A13" s="331">
        <v>3114</v>
      </c>
      <c r="B13" s="355" t="s">
        <v>270</v>
      </c>
      <c r="C13" s="356">
        <v>566.99</v>
      </c>
      <c r="D13" s="356">
        <v>439.16</v>
      </c>
      <c r="E13" s="356"/>
      <c r="F13" s="220"/>
      <c r="G13" s="229"/>
    </row>
    <row r="14" spans="1:7" s="224" customFormat="1" ht="14.25" customHeight="1" x14ac:dyDescent="0.25">
      <c r="A14" s="330">
        <v>312</v>
      </c>
      <c r="B14" s="353" t="s">
        <v>271</v>
      </c>
      <c r="C14" s="354">
        <f>SUM(C15)</f>
        <v>11378.71</v>
      </c>
      <c r="D14" s="354">
        <f>SUM(D15)</f>
        <v>11060.6</v>
      </c>
      <c r="E14" s="354"/>
      <c r="F14" s="220"/>
      <c r="G14" s="225"/>
    </row>
    <row r="15" spans="1:7" ht="14.25" customHeight="1" x14ac:dyDescent="0.25">
      <c r="A15" s="331">
        <v>3121</v>
      </c>
      <c r="B15" s="355" t="s">
        <v>271</v>
      </c>
      <c r="C15" s="356">
        <v>11378.71</v>
      </c>
      <c r="D15" s="356">
        <v>11060.6</v>
      </c>
      <c r="E15" s="356"/>
      <c r="F15" s="220"/>
      <c r="G15" s="229"/>
    </row>
    <row r="16" spans="1:7" s="224" customFormat="1" ht="14.25" customHeight="1" x14ac:dyDescent="0.25">
      <c r="A16" s="330">
        <v>313</v>
      </c>
      <c r="B16" s="353" t="s">
        <v>106</v>
      </c>
      <c r="C16" s="349">
        <f>SUM(C17:C17)</f>
        <v>40137.089999999997</v>
      </c>
      <c r="D16" s="349">
        <f>SUM(D17:D17)</f>
        <v>38790.300000000003</v>
      </c>
      <c r="E16" s="349"/>
      <c r="F16" s="220"/>
      <c r="G16" s="225"/>
    </row>
    <row r="17" spans="1:7" ht="14.25" customHeight="1" x14ac:dyDescent="0.25">
      <c r="A17" s="331">
        <v>3132</v>
      </c>
      <c r="B17" s="355" t="s">
        <v>186</v>
      </c>
      <c r="C17" s="356">
        <v>40137.089999999997</v>
      </c>
      <c r="D17" s="356">
        <v>38790.300000000003</v>
      </c>
      <c r="E17" s="356"/>
      <c r="F17" s="220"/>
      <c r="G17" s="229"/>
    </row>
    <row r="18" spans="1:7" s="214" customFormat="1" ht="14.25" customHeight="1" x14ac:dyDescent="0.25">
      <c r="A18" s="350">
        <v>32</v>
      </c>
      <c r="B18" s="351" t="s">
        <v>14</v>
      </c>
      <c r="C18" s="357">
        <f>SUM(C19,C23,C28,C37)</f>
        <v>80641.02</v>
      </c>
      <c r="D18" s="357">
        <f>SUM(D19,D23,D28,D37)</f>
        <v>75477.77</v>
      </c>
      <c r="E18" s="357">
        <f>SUM(D18/C18*100)</f>
        <v>93.597241205530395</v>
      </c>
      <c r="F18" s="220"/>
      <c r="G18" s="220"/>
    </row>
    <row r="19" spans="1:7" s="224" customFormat="1" ht="14.25" customHeight="1" x14ac:dyDescent="0.25">
      <c r="A19" s="330">
        <v>321</v>
      </c>
      <c r="B19" s="353" t="s">
        <v>112</v>
      </c>
      <c r="C19" s="349">
        <f>SUM(C20:C22)</f>
        <v>8319.7999999999993</v>
      </c>
      <c r="D19" s="349">
        <f>SUM(D20:D22)</f>
        <v>7479.67</v>
      </c>
      <c r="E19" s="349"/>
      <c r="F19" s="220"/>
      <c r="G19" s="225"/>
    </row>
    <row r="20" spans="1:7" x14ac:dyDescent="0.25">
      <c r="A20" s="331" t="s">
        <v>187</v>
      </c>
      <c r="B20" s="355" t="s">
        <v>188</v>
      </c>
      <c r="C20" s="356">
        <v>2654.46</v>
      </c>
      <c r="D20" s="356">
        <v>2400.4699999999998</v>
      </c>
      <c r="E20" s="356"/>
      <c r="F20" s="220"/>
      <c r="G20" s="229"/>
    </row>
    <row r="21" spans="1:7" x14ac:dyDescent="0.25">
      <c r="A21" s="331" t="s">
        <v>189</v>
      </c>
      <c r="B21" s="355" t="s">
        <v>120</v>
      </c>
      <c r="C21" s="356">
        <v>4470.83</v>
      </c>
      <c r="D21" s="356">
        <v>3962.12</v>
      </c>
      <c r="E21" s="356"/>
      <c r="F21" s="220"/>
      <c r="G21" s="229"/>
    </row>
    <row r="22" spans="1:7" x14ac:dyDescent="0.25">
      <c r="A22" s="331">
        <v>3213</v>
      </c>
      <c r="B22" s="355" t="s">
        <v>121</v>
      </c>
      <c r="C22" s="356">
        <v>1194.51</v>
      </c>
      <c r="D22" s="356">
        <v>1117.08</v>
      </c>
      <c r="E22" s="356"/>
      <c r="F22" s="220"/>
      <c r="G22" s="229"/>
    </row>
    <row r="23" spans="1:7" s="224" customFormat="1" ht="15.75" customHeight="1" x14ac:dyDescent="0.25">
      <c r="A23" s="360">
        <v>322</v>
      </c>
      <c r="B23" s="348" t="s">
        <v>113</v>
      </c>
      <c r="C23" s="315">
        <f>SUM(C24:C27)</f>
        <v>27622.720000000001</v>
      </c>
      <c r="D23" s="315">
        <f>SUM(D24:D27)</f>
        <v>23841.160000000003</v>
      </c>
      <c r="E23" s="315"/>
      <c r="F23" s="220"/>
      <c r="G23" s="225"/>
    </row>
    <row r="24" spans="1:7" ht="15.75" customHeight="1" x14ac:dyDescent="0.25">
      <c r="A24" s="394">
        <v>3221</v>
      </c>
      <c r="B24" s="362" t="s">
        <v>130</v>
      </c>
      <c r="C24" s="332">
        <v>3467.16</v>
      </c>
      <c r="D24" s="356">
        <v>5226.82</v>
      </c>
      <c r="E24" s="332"/>
      <c r="F24" s="220"/>
    </row>
    <row r="25" spans="1:7" ht="15.75" customHeight="1" x14ac:dyDescent="0.25">
      <c r="A25" s="394">
        <v>3223</v>
      </c>
      <c r="B25" s="362" t="s">
        <v>192</v>
      </c>
      <c r="C25" s="332">
        <v>23890.11</v>
      </c>
      <c r="D25" s="356">
        <f>21378.33-176.22-1437.3-1243.69</f>
        <v>18521.120000000003</v>
      </c>
      <c r="E25" s="332"/>
      <c r="F25" s="220"/>
    </row>
    <row r="26" spans="1:7" ht="15.75" customHeight="1" x14ac:dyDescent="0.25">
      <c r="A26" s="394">
        <v>3224</v>
      </c>
      <c r="B26" s="362" t="s">
        <v>194</v>
      </c>
      <c r="C26" s="332">
        <v>265.45</v>
      </c>
      <c r="D26" s="356">
        <v>93.22</v>
      </c>
      <c r="E26" s="332"/>
      <c r="F26" s="220"/>
    </row>
    <row r="27" spans="1:7" ht="15.75" customHeight="1" x14ac:dyDescent="0.25">
      <c r="A27" s="361">
        <v>3225</v>
      </c>
      <c r="B27" s="362" t="s">
        <v>122</v>
      </c>
      <c r="C27" s="332">
        <v>0</v>
      </c>
      <c r="D27" s="356">
        <v>0</v>
      </c>
      <c r="E27" s="332"/>
      <c r="F27" s="220"/>
    </row>
    <row r="28" spans="1:7" s="224" customFormat="1" ht="15.75" customHeight="1" x14ac:dyDescent="0.25">
      <c r="A28" s="330">
        <v>323</v>
      </c>
      <c r="B28" s="353" t="s">
        <v>99</v>
      </c>
      <c r="C28" s="349">
        <f>SUM(C29:C36)</f>
        <v>43711.55</v>
      </c>
      <c r="D28" s="349">
        <f>SUM(D29:D36)</f>
        <v>43372.46</v>
      </c>
      <c r="E28" s="349"/>
      <c r="F28" s="220"/>
      <c r="G28" s="225"/>
    </row>
    <row r="29" spans="1:7" x14ac:dyDescent="0.25">
      <c r="A29" s="393">
        <v>3231</v>
      </c>
      <c r="B29" s="355" t="s">
        <v>197</v>
      </c>
      <c r="C29" s="356">
        <v>2521.73</v>
      </c>
      <c r="D29" s="356">
        <f>2523.13+35.79</f>
        <v>2558.92</v>
      </c>
      <c r="E29" s="356"/>
      <c r="F29" s="220"/>
      <c r="G29" s="229"/>
    </row>
    <row r="30" spans="1:7" x14ac:dyDescent="0.25">
      <c r="A30" s="393">
        <v>3232</v>
      </c>
      <c r="B30" s="355" t="s">
        <v>199</v>
      </c>
      <c r="C30" s="356">
        <v>6708.91</v>
      </c>
      <c r="D30" s="356">
        <f>6850.53+1475-275-0.62</f>
        <v>8049.9099999999989</v>
      </c>
      <c r="E30" s="356"/>
      <c r="F30" s="220"/>
      <c r="G30" s="229"/>
    </row>
    <row r="31" spans="1:7" x14ac:dyDescent="0.25">
      <c r="A31" s="331">
        <v>3233</v>
      </c>
      <c r="B31" s="355" t="s">
        <v>276</v>
      </c>
      <c r="C31" s="356">
        <v>668.17</v>
      </c>
      <c r="D31" s="356">
        <f>733</f>
        <v>733</v>
      </c>
      <c r="E31" s="356"/>
      <c r="F31" s="220"/>
      <c r="G31" s="229"/>
    </row>
    <row r="32" spans="1:7" x14ac:dyDescent="0.25">
      <c r="A32" s="331">
        <v>3234</v>
      </c>
      <c r="B32" s="355" t="s">
        <v>200</v>
      </c>
      <c r="C32" s="356">
        <v>1123.56</v>
      </c>
      <c r="D32" s="356">
        <f>437.44+396.41-14.14</f>
        <v>819.71</v>
      </c>
      <c r="E32" s="356"/>
      <c r="F32" s="220"/>
      <c r="G32" s="229"/>
    </row>
    <row r="33" spans="1:7" x14ac:dyDescent="0.25">
      <c r="A33" s="331">
        <v>3235</v>
      </c>
      <c r="B33" s="355" t="s">
        <v>136</v>
      </c>
      <c r="C33" s="356">
        <v>15574.23</v>
      </c>
      <c r="D33" s="356">
        <f>15135.48+438.75</f>
        <v>15574.23</v>
      </c>
      <c r="E33" s="356"/>
      <c r="F33" s="220"/>
      <c r="G33" s="229"/>
    </row>
    <row r="34" spans="1:7" x14ac:dyDescent="0.25">
      <c r="A34" s="331">
        <v>3237</v>
      </c>
      <c r="B34" s="355" t="s">
        <v>133</v>
      </c>
      <c r="C34" s="356">
        <v>1190.8399999999999</v>
      </c>
      <c r="D34" s="356">
        <f>658.53+109.45+23.25</f>
        <v>791.23</v>
      </c>
      <c r="E34" s="356"/>
      <c r="F34" s="220"/>
      <c r="G34" s="229"/>
    </row>
    <row r="35" spans="1:7" x14ac:dyDescent="0.25">
      <c r="A35" s="393">
        <v>3238</v>
      </c>
      <c r="B35" s="355" t="s">
        <v>202</v>
      </c>
      <c r="C35" s="356">
        <v>8578.81</v>
      </c>
      <c r="D35" s="356">
        <f>8572.94-1.09</f>
        <v>8571.85</v>
      </c>
      <c r="E35" s="356"/>
      <c r="F35" s="220"/>
      <c r="G35" s="229"/>
    </row>
    <row r="36" spans="1:7" x14ac:dyDescent="0.25">
      <c r="A36" s="393">
        <v>3239</v>
      </c>
      <c r="B36" s="355" t="s">
        <v>134</v>
      </c>
      <c r="C36" s="356">
        <v>7345.3</v>
      </c>
      <c r="D36" s="356">
        <f>1482.65+70.94+1429.89+1453.32+1836.81</f>
        <v>6273.6100000000006</v>
      </c>
      <c r="E36" s="356"/>
      <c r="F36" s="220"/>
      <c r="G36" s="229"/>
    </row>
    <row r="37" spans="1:7" s="224" customFormat="1" ht="15.75" customHeight="1" x14ac:dyDescent="0.25">
      <c r="A37" s="330">
        <v>329</v>
      </c>
      <c r="B37" s="353" t="s">
        <v>114</v>
      </c>
      <c r="C37" s="349">
        <f>SUM(C38:C41)</f>
        <v>986.95</v>
      </c>
      <c r="D37" s="349">
        <f>SUM(D38:D41)</f>
        <v>784.48000000000013</v>
      </c>
      <c r="E37" s="349"/>
      <c r="F37" s="220"/>
      <c r="G37" s="225"/>
    </row>
    <row r="38" spans="1:7" x14ac:dyDescent="0.25">
      <c r="A38" s="331">
        <v>3292</v>
      </c>
      <c r="B38" s="355" t="s">
        <v>272</v>
      </c>
      <c r="C38" s="356">
        <v>663.61</v>
      </c>
      <c r="D38" s="356">
        <f>398.16+251.78</f>
        <v>649.94000000000005</v>
      </c>
      <c r="E38" s="356"/>
      <c r="F38" s="220"/>
      <c r="G38" s="229"/>
    </row>
    <row r="39" spans="1:7" x14ac:dyDescent="0.25">
      <c r="A39" s="393">
        <v>3293</v>
      </c>
      <c r="B39" s="355" t="s">
        <v>205</v>
      </c>
      <c r="C39" s="356">
        <v>130.88999999999999</v>
      </c>
      <c r="D39" s="356">
        <v>49.61</v>
      </c>
      <c r="E39" s="356"/>
      <c r="F39" s="220"/>
      <c r="G39" s="229"/>
    </row>
    <row r="40" spans="1:7" x14ac:dyDescent="0.25">
      <c r="A40" s="331">
        <v>3294</v>
      </c>
      <c r="B40" s="355" t="s">
        <v>277</v>
      </c>
      <c r="C40" s="356">
        <v>59.73</v>
      </c>
      <c r="D40" s="356">
        <f>59.73</f>
        <v>59.73</v>
      </c>
      <c r="E40" s="356"/>
      <c r="F40" s="220"/>
      <c r="G40" s="229"/>
    </row>
    <row r="41" spans="1:7" x14ac:dyDescent="0.25">
      <c r="A41" s="393">
        <v>3299</v>
      </c>
      <c r="B41" s="355" t="s">
        <v>114</v>
      </c>
      <c r="C41" s="356">
        <v>132.72</v>
      </c>
      <c r="D41" s="356">
        <v>25.2</v>
      </c>
      <c r="E41" s="356"/>
      <c r="F41" s="220"/>
      <c r="G41" s="229"/>
    </row>
    <row r="42" spans="1:7" s="214" customFormat="1" ht="15.75" customHeight="1" x14ac:dyDescent="0.25">
      <c r="A42" s="350">
        <v>34</v>
      </c>
      <c r="B42" s="351" t="s">
        <v>17</v>
      </c>
      <c r="C42" s="357">
        <f>SUM(C43)</f>
        <v>680.89</v>
      </c>
      <c r="D42" s="357">
        <f>SUM(D43)</f>
        <v>636.46</v>
      </c>
      <c r="E42" s="357">
        <f>(D42/C42)*100</f>
        <v>93.474716914626455</v>
      </c>
      <c r="F42" s="220"/>
      <c r="G42" s="220"/>
    </row>
    <row r="43" spans="1:7" s="224" customFormat="1" ht="15.75" customHeight="1" x14ac:dyDescent="0.25">
      <c r="A43" s="330">
        <v>343</v>
      </c>
      <c r="B43" s="353" t="s">
        <v>116</v>
      </c>
      <c r="C43" s="349">
        <f>SUM(C44)</f>
        <v>680.89</v>
      </c>
      <c r="D43" s="349">
        <f>SUM(D44)</f>
        <v>636.46</v>
      </c>
      <c r="E43" s="349">
        <v>0</v>
      </c>
      <c r="F43" s="220"/>
      <c r="G43" s="225"/>
    </row>
    <row r="44" spans="1:7" x14ac:dyDescent="0.25">
      <c r="A44" s="393">
        <v>3431</v>
      </c>
      <c r="B44" s="355" t="s">
        <v>207</v>
      </c>
      <c r="C44" s="356">
        <v>680.89</v>
      </c>
      <c r="D44" s="356">
        <f>659.25-22.79</f>
        <v>636.46</v>
      </c>
      <c r="E44" s="356">
        <v>0</v>
      </c>
      <c r="F44" s="220"/>
      <c r="G44" s="229"/>
    </row>
    <row r="45" spans="1:7" s="224" customFormat="1" x14ac:dyDescent="0.25">
      <c r="A45" s="345">
        <v>31</v>
      </c>
      <c r="B45" s="345" t="s">
        <v>52</v>
      </c>
      <c r="C45" s="346">
        <f>SUM(C46)</f>
        <v>5749.6500000000005</v>
      </c>
      <c r="D45" s="346">
        <f t="shared" ref="D45" si="0">SUM(D46)</f>
        <v>2843.31</v>
      </c>
      <c r="E45" s="346">
        <f t="shared" ref="E45" si="1">SUM(E46)</f>
        <v>49.451879679632668</v>
      </c>
      <c r="F45" s="220"/>
      <c r="G45" s="225"/>
    </row>
    <row r="46" spans="1:7" s="224" customFormat="1" x14ac:dyDescent="0.25">
      <c r="A46" s="347">
        <v>3</v>
      </c>
      <c r="B46" s="348" t="s">
        <v>43</v>
      </c>
      <c r="C46" s="315">
        <f>SUM(C47,C50,C57)</f>
        <v>5749.6500000000005</v>
      </c>
      <c r="D46" s="315">
        <f>SUM(D47,D50,D57)</f>
        <v>2843.31</v>
      </c>
      <c r="E46" s="315">
        <f>SUM(D46/C46*100)</f>
        <v>49.451879679632668</v>
      </c>
      <c r="F46" s="220"/>
      <c r="G46" s="225"/>
    </row>
    <row r="47" spans="1:7" s="214" customFormat="1" ht="15.75" customHeight="1" x14ac:dyDescent="0.25">
      <c r="A47" s="358">
        <v>31</v>
      </c>
      <c r="B47" s="342" t="s">
        <v>13</v>
      </c>
      <c r="C47" s="359">
        <f t="shared" ref="C47:D47" si="2">SUM(C48)</f>
        <v>2746.11</v>
      </c>
      <c r="D47" s="359">
        <f t="shared" si="2"/>
        <v>2746.11</v>
      </c>
      <c r="E47" s="359">
        <f>SUM(D47/C47*100)</f>
        <v>100</v>
      </c>
      <c r="F47" s="220"/>
      <c r="G47" s="220"/>
    </row>
    <row r="48" spans="1:7" s="224" customFormat="1" ht="14.25" customHeight="1" x14ac:dyDescent="0.25">
      <c r="A48" s="330">
        <v>312</v>
      </c>
      <c r="B48" s="353" t="s">
        <v>271</v>
      </c>
      <c r="C48" s="354">
        <f>SUM(C49)</f>
        <v>2746.11</v>
      </c>
      <c r="D48" s="354">
        <f>SUM(D49)</f>
        <v>2746.11</v>
      </c>
      <c r="E48" s="354"/>
      <c r="F48" s="220"/>
      <c r="G48" s="225"/>
    </row>
    <row r="49" spans="1:7" ht="14.25" customHeight="1" x14ac:dyDescent="0.25">
      <c r="A49" s="331">
        <v>3121</v>
      </c>
      <c r="B49" s="355" t="s">
        <v>271</v>
      </c>
      <c r="C49" s="356">
        <v>2746.11</v>
      </c>
      <c r="D49" s="356">
        <v>2746.11</v>
      </c>
      <c r="E49" s="356"/>
      <c r="F49" s="220"/>
      <c r="G49" s="229"/>
    </row>
    <row r="50" spans="1:7" s="214" customFormat="1" ht="14.25" customHeight="1" x14ac:dyDescent="0.25">
      <c r="A50" s="350">
        <v>32</v>
      </c>
      <c r="B50" s="351" t="s">
        <v>14</v>
      </c>
      <c r="C50" s="357">
        <f>SUM(C51,C53,C55)</f>
        <v>3000</v>
      </c>
      <c r="D50" s="357">
        <f>SUM(D51,D53,D55)</f>
        <v>93.66</v>
      </c>
      <c r="E50" s="357"/>
      <c r="F50" s="220"/>
      <c r="G50" s="220"/>
    </row>
    <row r="51" spans="1:7" s="224" customFormat="1" ht="15.75" customHeight="1" x14ac:dyDescent="0.25">
      <c r="A51" s="360">
        <v>322</v>
      </c>
      <c r="B51" s="348" t="s">
        <v>113</v>
      </c>
      <c r="C51" s="315">
        <f>SUM(C52)</f>
        <v>0</v>
      </c>
      <c r="D51" s="315">
        <f>SUM(D52)</f>
        <v>0.21</v>
      </c>
      <c r="E51" s="315"/>
      <c r="F51" s="220"/>
      <c r="G51" s="225"/>
    </row>
    <row r="52" spans="1:7" ht="14.25" customHeight="1" x14ac:dyDescent="0.25">
      <c r="A52" s="331">
        <v>3221</v>
      </c>
      <c r="B52" s="355" t="s">
        <v>130</v>
      </c>
      <c r="C52" s="356">
        <v>0</v>
      </c>
      <c r="D52" s="356">
        <v>0.21</v>
      </c>
      <c r="E52" s="356"/>
      <c r="F52" s="220"/>
      <c r="G52" s="229"/>
    </row>
    <row r="53" spans="1:7" s="224" customFormat="1" ht="15.75" customHeight="1" x14ac:dyDescent="0.25">
      <c r="A53" s="330">
        <v>323</v>
      </c>
      <c r="B53" s="353" t="s">
        <v>99</v>
      </c>
      <c r="C53" s="349">
        <f>SUM(C54)</f>
        <v>3000</v>
      </c>
      <c r="D53" s="349">
        <f>SUM(D54)</f>
        <v>0</v>
      </c>
      <c r="E53" s="349"/>
      <c r="F53" s="220"/>
      <c r="G53" s="225"/>
    </row>
    <row r="54" spans="1:7" ht="14.25" customHeight="1" x14ac:dyDescent="0.25">
      <c r="A54" s="331">
        <v>3232</v>
      </c>
      <c r="B54" s="355" t="s">
        <v>199</v>
      </c>
      <c r="C54" s="356">
        <v>3000</v>
      </c>
      <c r="D54" s="356"/>
      <c r="E54" s="356"/>
      <c r="F54" s="220"/>
      <c r="G54" s="229"/>
    </row>
    <row r="55" spans="1:7" s="224" customFormat="1" ht="14.25" customHeight="1" x14ac:dyDescent="0.25">
      <c r="A55" s="330">
        <v>324</v>
      </c>
      <c r="B55" s="353" t="s">
        <v>296</v>
      </c>
      <c r="C55" s="354">
        <f>SUM(C56)</f>
        <v>0</v>
      </c>
      <c r="D55" s="354">
        <f>SUM(D56)</f>
        <v>93.45</v>
      </c>
      <c r="E55" s="354">
        <f>SUM(E56)</f>
        <v>0</v>
      </c>
      <c r="F55" s="220"/>
      <c r="G55" s="225"/>
    </row>
    <row r="56" spans="1:7" ht="14.25" customHeight="1" x14ac:dyDescent="0.25">
      <c r="A56" s="331">
        <v>3241</v>
      </c>
      <c r="B56" s="355" t="s">
        <v>296</v>
      </c>
      <c r="C56" s="356"/>
      <c r="D56" s="356">
        <v>93.45</v>
      </c>
      <c r="E56" s="356"/>
      <c r="F56" s="220"/>
      <c r="G56" s="229"/>
    </row>
    <row r="57" spans="1:7" s="214" customFormat="1" ht="15.75" customHeight="1" x14ac:dyDescent="0.25">
      <c r="A57" s="350">
        <v>34</v>
      </c>
      <c r="B57" s="351" t="s">
        <v>17</v>
      </c>
      <c r="C57" s="357">
        <f>SUM(C58)</f>
        <v>3.54</v>
      </c>
      <c r="D57" s="357">
        <f t="shared" ref="D57:E57" si="3">SUM(D58)</f>
        <v>3.54</v>
      </c>
      <c r="E57" s="357">
        <f t="shared" si="3"/>
        <v>0</v>
      </c>
      <c r="F57" s="220"/>
      <c r="G57" s="220"/>
    </row>
    <row r="58" spans="1:7" s="224" customFormat="1" ht="14.25" customHeight="1" x14ac:dyDescent="0.25">
      <c r="A58" s="330">
        <v>343</v>
      </c>
      <c r="B58" s="353" t="s">
        <v>116</v>
      </c>
      <c r="C58" s="354">
        <f>SUM(C59)</f>
        <v>3.54</v>
      </c>
      <c r="D58" s="354">
        <f>SUM(D59)</f>
        <v>3.54</v>
      </c>
      <c r="E58" s="354">
        <f>SUM(E59)</f>
        <v>0</v>
      </c>
      <c r="F58" s="220"/>
      <c r="G58" s="225"/>
    </row>
    <row r="59" spans="1:7" ht="14.25" customHeight="1" x14ac:dyDescent="0.25">
      <c r="A59" s="331">
        <v>3432</v>
      </c>
      <c r="B59" s="355" t="s">
        <v>294</v>
      </c>
      <c r="C59" s="356">
        <v>3.54</v>
      </c>
      <c r="D59" s="356">
        <v>3.54</v>
      </c>
      <c r="E59" s="356"/>
      <c r="F59" s="220"/>
      <c r="G59" s="229"/>
    </row>
    <row r="60" spans="1:7" s="224" customFormat="1" x14ac:dyDescent="0.25">
      <c r="A60" s="345">
        <v>43</v>
      </c>
      <c r="B60" s="345" t="s">
        <v>273</v>
      </c>
      <c r="C60" s="315">
        <f>SUM(C61,C70)</f>
        <v>3543.63</v>
      </c>
      <c r="D60" s="315">
        <f>SUM(D61,D70)</f>
        <v>843.63</v>
      </c>
      <c r="E60" s="349">
        <f>(D60/C60)*100</f>
        <v>23.806943727194994</v>
      </c>
      <c r="F60" s="220"/>
      <c r="G60" s="225"/>
    </row>
    <row r="61" spans="1:7" s="224" customFormat="1" x14ac:dyDescent="0.25">
      <c r="A61" s="347">
        <v>3</v>
      </c>
      <c r="B61" s="348" t="s">
        <v>43</v>
      </c>
      <c r="C61" s="315">
        <f>SUM(C62)</f>
        <v>3293.84</v>
      </c>
      <c r="D61" s="315">
        <f>SUM(D62)</f>
        <v>593.84</v>
      </c>
      <c r="E61" s="315">
        <f>(D61/C61)*100</f>
        <v>18.02880528501688</v>
      </c>
      <c r="F61" s="220"/>
      <c r="G61" s="225"/>
    </row>
    <row r="62" spans="1:7" s="214" customFormat="1" ht="15.75" customHeight="1" x14ac:dyDescent="0.25">
      <c r="A62" s="350">
        <v>32</v>
      </c>
      <c r="B62" s="351" t="s">
        <v>14</v>
      </c>
      <c r="C62" s="357">
        <f>SUM(C63,C65)</f>
        <v>3293.84</v>
      </c>
      <c r="D62" s="357">
        <f>SUM(D63,D65)</f>
        <v>593.84</v>
      </c>
      <c r="E62" s="357">
        <f>(D62/C62)*100</f>
        <v>18.02880528501688</v>
      </c>
      <c r="F62" s="220"/>
      <c r="G62" s="220"/>
    </row>
    <row r="63" spans="1:7" s="224" customFormat="1" ht="15.75" customHeight="1" x14ac:dyDescent="0.25">
      <c r="A63" s="330">
        <v>321</v>
      </c>
      <c r="B63" s="353" t="s">
        <v>112</v>
      </c>
      <c r="C63" s="349">
        <f>SUM(C64:C64)</f>
        <v>36.4</v>
      </c>
      <c r="D63" s="349">
        <f>SUM(D64:D64)</f>
        <v>36.4</v>
      </c>
      <c r="E63" s="349"/>
      <c r="F63" s="220"/>
      <c r="G63" s="225"/>
    </row>
    <row r="64" spans="1:7" x14ac:dyDescent="0.25">
      <c r="A64" s="331">
        <v>3214</v>
      </c>
      <c r="B64" s="355" t="s">
        <v>274</v>
      </c>
      <c r="C64" s="356">
        <v>36.4</v>
      </c>
      <c r="D64" s="356">
        <v>36.4</v>
      </c>
      <c r="E64" s="356"/>
      <c r="F64" s="220"/>
      <c r="G64" s="229"/>
    </row>
    <row r="65" spans="1:9" s="224" customFormat="1" ht="15.75" customHeight="1" x14ac:dyDescent="0.25">
      <c r="A65" s="330">
        <v>323</v>
      </c>
      <c r="B65" s="353" t="s">
        <v>99</v>
      </c>
      <c r="C65" s="349">
        <f>SUM(C66:C69)</f>
        <v>3257.44</v>
      </c>
      <c r="D65" s="349">
        <f>SUM(D66:D69)</f>
        <v>557.44000000000005</v>
      </c>
      <c r="E65" s="349"/>
      <c r="F65" s="220"/>
      <c r="G65" s="225"/>
    </row>
    <row r="66" spans="1:9" x14ac:dyDescent="0.25">
      <c r="A66" s="331" t="s">
        <v>198</v>
      </c>
      <c r="B66" s="355" t="s">
        <v>199</v>
      </c>
      <c r="C66" s="356">
        <v>0</v>
      </c>
      <c r="D66" s="356">
        <v>0</v>
      </c>
      <c r="E66" s="356"/>
      <c r="F66" s="220"/>
      <c r="G66" s="229"/>
    </row>
    <row r="67" spans="1:9" x14ac:dyDescent="0.25">
      <c r="A67" s="331">
        <v>3236</v>
      </c>
      <c r="B67" s="355" t="s">
        <v>132</v>
      </c>
      <c r="C67" s="356">
        <v>318.54000000000002</v>
      </c>
      <c r="D67" s="356">
        <v>318.54000000000002</v>
      </c>
      <c r="E67" s="356"/>
      <c r="F67" s="220"/>
      <c r="G67" s="229"/>
    </row>
    <row r="68" spans="1:9" x14ac:dyDescent="0.25">
      <c r="A68" s="331">
        <v>3237</v>
      </c>
      <c r="B68" s="355" t="s">
        <v>133</v>
      </c>
      <c r="C68" s="356">
        <v>238.9</v>
      </c>
      <c r="D68" s="356">
        <v>238.9</v>
      </c>
      <c r="E68" s="356"/>
      <c r="F68" s="220"/>
      <c r="G68" s="229"/>
    </row>
    <row r="69" spans="1:9" x14ac:dyDescent="0.25">
      <c r="A69" s="331" t="s">
        <v>203</v>
      </c>
      <c r="B69" s="355" t="s">
        <v>134</v>
      </c>
      <c r="C69" s="356">
        <v>2700</v>
      </c>
      <c r="D69" s="356">
        <v>0</v>
      </c>
      <c r="E69" s="356"/>
      <c r="F69" s="220"/>
      <c r="G69" s="229"/>
    </row>
    <row r="70" spans="1:9" s="226" customFormat="1" x14ac:dyDescent="0.2">
      <c r="A70" s="315">
        <v>4</v>
      </c>
      <c r="B70" s="345" t="s">
        <v>18</v>
      </c>
      <c r="C70" s="346">
        <f t="shared" ref="C70:D70" si="4">SUM(C71)</f>
        <v>249.79</v>
      </c>
      <c r="D70" s="346">
        <f t="shared" si="4"/>
        <v>249.79</v>
      </c>
      <c r="E70" s="367">
        <f t="shared" ref="E70:E71" si="5">(D70/C70)*100</f>
        <v>100</v>
      </c>
    </row>
    <row r="71" spans="1:9" s="227" customFormat="1" x14ac:dyDescent="0.2">
      <c r="A71" s="358">
        <v>42</v>
      </c>
      <c r="B71" s="342" t="s">
        <v>19</v>
      </c>
      <c r="C71" s="359">
        <f>SUM(C72)</f>
        <v>249.79</v>
      </c>
      <c r="D71" s="359">
        <f>SUM(D72)</f>
        <v>249.79</v>
      </c>
      <c r="E71" s="367">
        <f t="shared" si="5"/>
        <v>100</v>
      </c>
      <c r="F71" s="226"/>
      <c r="G71" s="226"/>
    </row>
    <row r="72" spans="1:9" s="224" customFormat="1" x14ac:dyDescent="0.25">
      <c r="A72" s="360">
        <v>422</v>
      </c>
      <c r="B72" s="348" t="s">
        <v>102</v>
      </c>
      <c r="C72" s="315">
        <f>SUM(C73:C74)</f>
        <v>249.79</v>
      </c>
      <c r="D72" s="315">
        <f>SUM(D73:D74)</f>
        <v>249.79</v>
      </c>
      <c r="E72" s="367"/>
      <c r="F72" s="226"/>
      <c r="G72" s="226"/>
    </row>
    <row r="73" spans="1:9" x14ac:dyDescent="0.25">
      <c r="A73" s="361" t="s">
        <v>210</v>
      </c>
      <c r="B73" s="362" t="s">
        <v>211</v>
      </c>
      <c r="C73" s="332">
        <v>233.25</v>
      </c>
      <c r="D73" s="332">
        <f>233.18+0.07</f>
        <v>233.25</v>
      </c>
      <c r="E73" s="367"/>
      <c r="F73" s="226"/>
      <c r="G73" s="226"/>
    </row>
    <row r="74" spans="1:9" x14ac:dyDescent="0.25">
      <c r="A74" s="331">
        <v>4223</v>
      </c>
      <c r="B74" s="355" t="s">
        <v>275</v>
      </c>
      <c r="C74" s="356">
        <v>16.54</v>
      </c>
      <c r="D74" s="356">
        <v>16.54</v>
      </c>
      <c r="E74" s="356"/>
      <c r="F74" s="220"/>
      <c r="G74" s="229"/>
    </row>
    <row r="75" spans="1:9" s="224" customFormat="1" x14ac:dyDescent="0.25">
      <c r="A75" s="363">
        <v>52</v>
      </c>
      <c r="B75" s="363" t="s">
        <v>31</v>
      </c>
      <c r="C75" s="349">
        <f t="shared" ref="C75:D75" si="6">SUM(C76)</f>
        <v>11395.119999999999</v>
      </c>
      <c r="D75" s="349">
        <f t="shared" si="6"/>
        <v>11537.749999999998</v>
      </c>
      <c r="E75" s="349">
        <f t="shared" ref="E75:E84" si="7">(D75/C75)*100</f>
        <v>101.25167615610893</v>
      </c>
      <c r="F75" s="225"/>
      <c r="G75" s="225"/>
      <c r="H75" s="225"/>
      <c r="I75" s="225"/>
    </row>
    <row r="76" spans="1:9" s="223" customFormat="1" x14ac:dyDescent="0.2">
      <c r="A76" s="364">
        <v>3</v>
      </c>
      <c r="B76" s="353" t="s">
        <v>43</v>
      </c>
      <c r="C76" s="349">
        <f>SUM(C77,C84)</f>
        <v>11395.119999999999</v>
      </c>
      <c r="D76" s="349">
        <f>SUM(D77,D84)</f>
        <v>11537.749999999998</v>
      </c>
      <c r="E76" s="349">
        <f t="shared" si="7"/>
        <v>101.25167615610893</v>
      </c>
    </row>
    <row r="77" spans="1:9" s="214" customFormat="1" ht="15.75" customHeight="1" x14ac:dyDescent="0.25">
      <c r="A77" s="358">
        <v>31</v>
      </c>
      <c r="B77" s="342" t="s">
        <v>13</v>
      </c>
      <c r="C77" s="359">
        <f>SUM(C78,C80,C82)</f>
        <v>10933.24</v>
      </c>
      <c r="D77" s="359">
        <f>SUM(D78,D80,D82)</f>
        <v>11086.369999999999</v>
      </c>
      <c r="E77" s="359">
        <f>SUM(D77/C77*100)</f>
        <v>101.40059122455922</v>
      </c>
      <c r="F77" s="220"/>
      <c r="G77" s="220"/>
    </row>
    <row r="78" spans="1:9" s="224" customFormat="1" ht="15.75" customHeight="1" x14ac:dyDescent="0.25">
      <c r="A78" s="360">
        <v>311</v>
      </c>
      <c r="B78" s="348" t="s">
        <v>105</v>
      </c>
      <c r="C78" s="315">
        <f>SUM(C79)</f>
        <v>10933.24</v>
      </c>
      <c r="D78" s="315">
        <f>SUM(D79)</f>
        <v>10726.13</v>
      </c>
      <c r="E78" s="315"/>
      <c r="F78" s="220"/>
      <c r="G78" s="225"/>
    </row>
    <row r="79" spans="1:9" ht="15.75" customHeight="1" x14ac:dyDescent="0.25">
      <c r="A79" s="361">
        <v>3111</v>
      </c>
      <c r="B79" s="362" t="s">
        <v>185</v>
      </c>
      <c r="C79" s="332">
        <v>10933.24</v>
      </c>
      <c r="D79" s="332">
        <v>10726.13</v>
      </c>
      <c r="E79" s="332"/>
      <c r="F79" s="220"/>
      <c r="G79" s="229"/>
    </row>
    <row r="80" spans="1:9" s="224" customFormat="1" ht="15.75" customHeight="1" x14ac:dyDescent="0.25">
      <c r="A80" s="360">
        <v>312</v>
      </c>
      <c r="B80" s="348" t="s">
        <v>271</v>
      </c>
      <c r="C80" s="315">
        <f>SUM(C81)</f>
        <v>0</v>
      </c>
      <c r="D80" s="315">
        <f>SUM(D81)</f>
        <v>360.24</v>
      </c>
      <c r="E80" s="315"/>
      <c r="F80" s="220"/>
      <c r="G80" s="225"/>
    </row>
    <row r="81" spans="1:7" ht="15.75" customHeight="1" x14ac:dyDescent="0.25">
      <c r="A81" s="361">
        <v>3121</v>
      </c>
      <c r="B81" s="355" t="s">
        <v>271</v>
      </c>
      <c r="C81" s="332"/>
      <c r="D81" s="332">
        <v>360.24</v>
      </c>
      <c r="E81" s="332"/>
      <c r="F81" s="220"/>
      <c r="G81" s="229"/>
    </row>
    <row r="82" spans="1:7" s="224" customFormat="1" ht="14.25" customHeight="1" x14ac:dyDescent="0.25">
      <c r="A82" s="330">
        <v>313</v>
      </c>
      <c r="B82" s="353" t="s">
        <v>106</v>
      </c>
      <c r="C82" s="349">
        <f>SUM(C83:C83)</f>
        <v>0</v>
      </c>
      <c r="D82" s="349">
        <f>SUM(D83:D83)</f>
        <v>0</v>
      </c>
      <c r="E82" s="349"/>
      <c r="F82" s="220"/>
      <c r="G82" s="225"/>
    </row>
    <row r="83" spans="1:7" ht="14.25" customHeight="1" x14ac:dyDescent="0.25">
      <c r="A83" s="331">
        <v>3132</v>
      </c>
      <c r="B83" s="355" t="s">
        <v>186</v>
      </c>
      <c r="C83" s="356">
        <v>0</v>
      </c>
      <c r="D83" s="356">
        <v>0</v>
      </c>
      <c r="E83" s="356"/>
      <c r="F83" s="220"/>
      <c r="G83" s="229"/>
    </row>
    <row r="84" spans="1:7" s="214" customFormat="1" ht="14.45" customHeight="1" x14ac:dyDescent="0.25">
      <c r="A84" s="350">
        <v>32</v>
      </c>
      <c r="B84" s="351" t="s">
        <v>14</v>
      </c>
      <c r="C84" s="357">
        <f>SUM(C85)</f>
        <v>461.88</v>
      </c>
      <c r="D84" s="357">
        <f>SUM(D85)</f>
        <v>451.38</v>
      </c>
      <c r="E84" s="349">
        <f t="shared" si="7"/>
        <v>97.726682255131209</v>
      </c>
      <c r="F84" s="220"/>
      <c r="G84" s="220"/>
    </row>
    <row r="85" spans="1:7" s="224" customFormat="1" ht="14.45" customHeight="1" x14ac:dyDescent="0.25">
      <c r="A85" s="330">
        <v>321</v>
      </c>
      <c r="B85" s="353" t="s">
        <v>112</v>
      </c>
      <c r="C85" s="365">
        <f>SUM(C86:C86)</f>
        <v>461.88</v>
      </c>
      <c r="D85" s="365">
        <f>SUM(D86:D86)</f>
        <v>451.38</v>
      </c>
      <c r="E85" s="349"/>
      <c r="F85" s="225"/>
      <c r="G85" s="225"/>
    </row>
    <row r="86" spans="1:7" x14ac:dyDescent="0.25">
      <c r="A86" s="331">
        <v>3212</v>
      </c>
      <c r="B86" s="355" t="s">
        <v>111</v>
      </c>
      <c r="C86" s="356">
        <v>461.88</v>
      </c>
      <c r="D86" s="356">
        <v>451.38</v>
      </c>
      <c r="E86" s="356">
        <v>0</v>
      </c>
      <c r="F86" s="220"/>
      <c r="G86" s="229"/>
    </row>
    <row r="87" spans="1:7" s="226" customFormat="1" x14ac:dyDescent="0.2">
      <c r="A87" s="345" t="s">
        <v>269</v>
      </c>
      <c r="B87" s="366" t="s">
        <v>268</v>
      </c>
      <c r="C87" s="315">
        <f>SUM(C88)</f>
        <v>32440.510000000002</v>
      </c>
      <c r="D87" s="315">
        <f>SUM(D88)</f>
        <v>32370.17</v>
      </c>
      <c r="E87" s="367">
        <f t="shared" ref="E87:E89" si="8">(D87/C87)*100</f>
        <v>99.783172336069924</v>
      </c>
    </row>
    <row r="88" spans="1:7" s="226" customFormat="1" x14ac:dyDescent="0.2">
      <c r="A88" s="345">
        <v>11</v>
      </c>
      <c r="B88" s="345" t="s">
        <v>39</v>
      </c>
      <c r="C88" s="346">
        <f>SUM(C89,C97)</f>
        <v>32440.510000000002</v>
      </c>
      <c r="D88" s="346">
        <f>SUM(D89,D97)</f>
        <v>32370.17</v>
      </c>
      <c r="E88" s="367">
        <f t="shared" si="8"/>
        <v>99.783172336069924</v>
      </c>
    </row>
    <row r="89" spans="1:7" s="223" customFormat="1" x14ac:dyDescent="0.2">
      <c r="A89" s="364">
        <v>3</v>
      </c>
      <c r="B89" s="353" t="s">
        <v>43</v>
      </c>
      <c r="C89" s="349">
        <f>SUM(C90)</f>
        <v>23088.730000000003</v>
      </c>
      <c r="D89" s="349">
        <f>SUM(D90)</f>
        <v>23060.329999999998</v>
      </c>
      <c r="E89" s="349">
        <f t="shared" si="8"/>
        <v>99.876996266143678</v>
      </c>
    </row>
    <row r="90" spans="1:7" s="214" customFormat="1" ht="15.75" customHeight="1" x14ac:dyDescent="0.25">
      <c r="A90" s="358">
        <v>32</v>
      </c>
      <c r="B90" s="342" t="s">
        <v>14</v>
      </c>
      <c r="C90" s="359">
        <f>SUM(C91,C93)</f>
        <v>23088.730000000003</v>
      </c>
      <c r="D90" s="359">
        <f>SUM(D91,D93)</f>
        <v>23060.329999999998</v>
      </c>
      <c r="E90" s="359">
        <f>SUM(D90/C90*100)</f>
        <v>99.876996266143678</v>
      </c>
      <c r="F90" s="220"/>
      <c r="G90" s="220"/>
    </row>
    <row r="91" spans="1:7" s="224" customFormat="1" ht="15.75" customHeight="1" x14ac:dyDescent="0.25">
      <c r="A91" s="360">
        <v>322</v>
      </c>
      <c r="B91" s="348" t="s">
        <v>113</v>
      </c>
      <c r="C91" s="315">
        <f>SUM(C92)</f>
        <v>547.75</v>
      </c>
      <c r="D91" s="315">
        <f>SUM(D92)</f>
        <v>542.03</v>
      </c>
      <c r="E91" s="315"/>
      <c r="F91" s="220"/>
      <c r="G91" s="225"/>
    </row>
    <row r="92" spans="1:7" ht="15.75" customHeight="1" x14ac:dyDescent="0.25">
      <c r="A92" s="361" t="s">
        <v>190</v>
      </c>
      <c r="B92" s="362" t="s">
        <v>130</v>
      </c>
      <c r="C92" s="332">
        <v>547.75</v>
      </c>
      <c r="D92" s="356">
        <f>83.22+458.81</f>
        <v>542.03</v>
      </c>
      <c r="E92" s="332"/>
      <c r="F92" s="220"/>
    </row>
    <row r="93" spans="1:7" s="224" customFormat="1" ht="15.75" customHeight="1" x14ac:dyDescent="0.25">
      <c r="A93" s="330">
        <v>323</v>
      </c>
      <c r="B93" s="353" t="s">
        <v>99</v>
      </c>
      <c r="C93" s="349">
        <f>SUM(C94:C96)</f>
        <v>22540.980000000003</v>
      </c>
      <c r="D93" s="349">
        <f>SUM(D94:D96)</f>
        <v>22518.3</v>
      </c>
      <c r="E93" s="349"/>
      <c r="F93" s="220"/>
      <c r="G93" s="225"/>
    </row>
    <row r="94" spans="1:7" x14ac:dyDescent="0.25">
      <c r="A94" s="331">
        <v>3237</v>
      </c>
      <c r="B94" s="355" t="s">
        <v>133</v>
      </c>
      <c r="C94" s="356">
        <v>4165.6400000000003</v>
      </c>
      <c r="D94" s="356">
        <f>1864.82+249.51+389.91+1654.45</f>
        <v>4158.6899999999996</v>
      </c>
      <c r="E94" s="356"/>
      <c r="F94" s="220"/>
      <c r="G94" s="229"/>
    </row>
    <row r="95" spans="1:7" x14ac:dyDescent="0.25">
      <c r="A95" s="393">
        <v>3238</v>
      </c>
      <c r="B95" s="355" t="s">
        <v>202</v>
      </c>
      <c r="C95" s="356">
        <v>1824.94</v>
      </c>
      <c r="D95" s="356">
        <v>1824.9</v>
      </c>
      <c r="E95" s="356"/>
      <c r="F95" s="220"/>
      <c r="G95" s="229"/>
    </row>
    <row r="96" spans="1:7" x14ac:dyDescent="0.25">
      <c r="A96" s="393">
        <v>3239</v>
      </c>
      <c r="B96" s="355" t="s">
        <v>134</v>
      </c>
      <c r="C96" s="356">
        <v>16550.400000000001</v>
      </c>
      <c r="D96" s="356">
        <f>9284.75+929.06+6320.9</f>
        <v>16534.71</v>
      </c>
      <c r="E96" s="356"/>
      <c r="F96" s="220"/>
      <c r="G96" s="229"/>
    </row>
    <row r="97" spans="1:7" s="226" customFormat="1" x14ac:dyDescent="0.2">
      <c r="A97" s="315">
        <v>4</v>
      </c>
      <c r="B97" s="345" t="s">
        <v>18</v>
      </c>
      <c r="C97" s="346">
        <f>SUM(C98)</f>
        <v>9351.7800000000007</v>
      </c>
      <c r="D97" s="346">
        <f>SUM(D98)</f>
        <v>9309.84</v>
      </c>
      <c r="E97" s="367">
        <f>(D97/C97)*100</f>
        <v>99.551529227590891</v>
      </c>
    </row>
    <row r="98" spans="1:7" s="227" customFormat="1" x14ac:dyDescent="0.2">
      <c r="A98" s="358">
        <v>42</v>
      </c>
      <c r="B98" s="342" t="s">
        <v>19</v>
      </c>
      <c r="C98" s="359">
        <f>SUM(C99,C102)</f>
        <v>9351.7800000000007</v>
      </c>
      <c r="D98" s="359">
        <f>SUM(D99,D102)</f>
        <v>9309.84</v>
      </c>
      <c r="E98" s="367">
        <f>(D98/C98)*100</f>
        <v>99.551529227590891</v>
      </c>
      <c r="F98" s="226"/>
      <c r="G98" s="226"/>
    </row>
    <row r="99" spans="1:7" s="224" customFormat="1" x14ac:dyDescent="0.25">
      <c r="A99" s="360">
        <v>422</v>
      </c>
      <c r="B99" s="348" t="s">
        <v>102</v>
      </c>
      <c r="C99" s="315">
        <f>SUM(C100:C101)</f>
        <v>8471.0300000000007</v>
      </c>
      <c r="D99" s="315">
        <f>SUM(D100:D101)</f>
        <v>8429.09</v>
      </c>
      <c r="E99" s="367"/>
      <c r="F99" s="226"/>
      <c r="G99" s="226"/>
    </row>
    <row r="100" spans="1:7" x14ac:dyDescent="0.25">
      <c r="A100" s="361" t="s">
        <v>210</v>
      </c>
      <c r="B100" s="362" t="s">
        <v>211</v>
      </c>
      <c r="C100" s="332">
        <v>6895.08</v>
      </c>
      <c r="D100" s="332">
        <f>3309.18+470.63+3073.33</f>
        <v>6853.1399999999994</v>
      </c>
      <c r="E100" s="367"/>
      <c r="F100" s="226"/>
      <c r="G100" s="226"/>
    </row>
    <row r="101" spans="1:7" x14ac:dyDescent="0.25">
      <c r="A101" s="361">
        <v>4223</v>
      </c>
      <c r="B101" s="362" t="s">
        <v>275</v>
      </c>
      <c r="C101" s="332">
        <v>1575.95</v>
      </c>
      <c r="D101" s="332">
        <f>1575.95</f>
        <v>1575.95</v>
      </c>
      <c r="E101" s="367"/>
      <c r="F101" s="226"/>
      <c r="G101" s="226"/>
    </row>
    <row r="102" spans="1:7" s="224" customFormat="1" x14ac:dyDescent="0.25">
      <c r="A102" s="360">
        <v>426</v>
      </c>
      <c r="B102" s="348" t="s">
        <v>110</v>
      </c>
      <c r="C102" s="315">
        <f>SUM(C103)</f>
        <v>880.75</v>
      </c>
      <c r="D102" s="315">
        <f>SUM(D103)</f>
        <v>880.75</v>
      </c>
      <c r="E102" s="367"/>
      <c r="F102" s="226"/>
      <c r="G102" s="226"/>
    </row>
    <row r="103" spans="1:7" x14ac:dyDescent="0.25">
      <c r="A103" s="361">
        <v>4262</v>
      </c>
      <c r="B103" s="362" t="s">
        <v>278</v>
      </c>
      <c r="C103" s="332">
        <v>880.75</v>
      </c>
      <c r="D103" s="332">
        <v>880.75</v>
      </c>
      <c r="E103" s="367"/>
      <c r="F103" s="226"/>
      <c r="G103" s="226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alignWithMargins="0"/>
  <ignoredErrors>
    <ignoredError sqref="E6:E10 E18 E84 E62 E45:E46 E75:E76 E87:E88" evalError="1"/>
    <ignoredError sqref="A20:A21 A100 A69 A6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0" zoomScale="85" zoomScaleNormal="85" workbookViewId="0">
      <selection activeCell="G245" sqref="G245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46" customWidth="1"/>
    <col min="6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492" t="s">
        <v>58</v>
      </c>
      <c r="B1" s="492"/>
      <c r="C1" s="492"/>
      <c r="D1" s="492"/>
      <c r="E1" s="492"/>
      <c r="F1" s="492"/>
      <c r="G1" s="492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486" t="s">
        <v>59</v>
      </c>
      <c r="B3" s="486"/>
      <c r="C3" s="486"/>
      <c r="D3" s="486"/>
      <c r="E3" s="486"/>
      <c r="F3" s="486"/>
      <c r="G3" s="486"/>
      <c r="H3" s="20"/>
      <c r="I3" s="20"/>
    </row>
    <row r="4" spans="1:9" s="23" customFormat="1" ht="15.6" hidden="1" customHeight="1" x14ac:dyDescent="0.25">
      <c r="A4" s="21" t="s">
        <v>60</v>
      </c>
      <c r="B4" s="22"/>
      <c r="C4" s="22"/>
      <c r="D4" s="22"/>
      <c r="E4" s="22"/>
    </row>
    <row r="5" spans="1:9" ht="33" hidden="1" customHeight="1" x14ac:dyDescent="0.25">
      <c r="A5" s="464" t="s">
        <v>61</v>
      </c>
      <c r="B5" s="466" t="s">
        <v>62</v>
      </c>
      <c r="C5" s="24"/>
      <c r="D5" s="24"/>
      <c r="E5" s="468" t="s">
        <v>63</v>
      </c>
      <c r="F5" s="468" t="s">
        <v>64</v>
      </c>
      <c r="G5" s="468" t="s">
        <v>1</v>
      </c>
    </row>
    <row r="6" spans="1:9" ht="33" hidden="1" customHeight="1" x14ac:dyDescent="0.25">
      <c r="A6" s="465"/>
      <c r="B6" s="467"/>
      <c r="C6" s="25"/>
      <c r="D6" s="25"/>
      <c r="E6" s="469"/>
      <c r="F6" s="469"/>
      <c r="G6" s="469"/>
    </row>
    <row r="7" spans="1:9" ht="33" hidden="1" customHeight="1" x14ac:dyDescent="0.25">
      <c r="A7" s="26">
        <v>67</v>
      </c>
      <c r="B7" s="27" t="s">
        <v>12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25">
      <c r="A8" s="30">
        <v>671</v>
      </c>
      <c r="B8" s="31" t="s">
        <v>65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" hidden="1" customHeight="1" x14ac:dyDescent="0.25">
      <c r="A9" s="34">
        <v>671</v>
      </c>
      <c r="B9" s="35" t="s">
        <v>66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25">
      <c r="A10" s="490" t="s">
        <v>67</v>
      </c>
      <c r="B10" s="491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25">
      <c r="A11" s="40"/>
      <c r="B11" s="40"/>
      <c r="C11" s="40"/>
      <c r="D11" s="40"/>
      <c r="E11" s="41"/>
      <c r="F11" s="41"/>
      <c r="G11" s="41"/>
    </row>
    <row r="12" spans="1:9" ht="18" hidden="1" customHeight="1" x14ac:dyDescent="0.25">
      <c r="A12" s="21" t="s">
        <v>68</v>
      </c>
      <c r="B12" s="23"/>
      <c r="C12" s="23"/>
      <c r="D12" s="23"/>
      <c r="E12" s="22"/>
      <c r="F12" s="23"/>
      <c r="G12" s="23"/>
    </row>
    <row r="13" spans="1:9" ht="33" hidden="1" customHeight="1" x14ac:dyDescent="0.25">
      <c r="A13" s="464" t="s">
        <v>61</v>
      </c>
      <c r="B13" s="466" t="s">
        <v>62</v>
      </c>
      <c r="C13" s="24"/>
      <c r="D13" s="24"/>
      <c r="E13" s="468" t="s">
        <v>63</v>
      </c>
      <c r="F13" s="468" t="s">
        <v>64</v>
      </c>
      <c r="G13" s="468" t="s">
        <v>1</v>
      </c>
    </row>
    <row r="14" spans="1:9" ht="33" hidden="1" customHeight="1" x14ac:dyDescent="0.25">
      <c r="A14" s="465"/>
      <c r="B14" s="467"/>
      <c r="C14" s="25"/>
      <c r="D14" s="25"/>
      <c r="E14" s="469"/>
      <c r="F14" s="469"/>
      <c r="G14" s="469"/>
    </row>
    <row r="15" spans="1:9" ht="15.6" hidden="1" customHeight="1" x14ac:dyDescent="0.25">
      <c r="A15" s="26">
        <v>64</v>
      </c>
      <c r="B15" s="27" t="s">
        <v>69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25">
      <c r="A16" s="30">
        <v>641</v>
      </c>
      <c r="B16" s="31" t="s">
        <v>70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15" hidden="1" customHeight="1" x14ac:dyDescent="0.25">
      <c r="A17" s="42">
        <v>66</v>
      </c>
      <c r="B17" s="43" t="s">
        <v>16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15" hidden="1" customHeight="1" x14ac:dyDescent="0.25">
      <c r="A18" s="34">
        <v>661</v>
      </c>
      <c r="B18" s="35" t="s">
        <v>71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25">
      <c r="A19" s="490" t="s">
        <v>72</v>
      </c>
      <c r="B19" s="491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1" t="s">
        <v>73</v>
      </c>
      <c r="B21" s="23"/>
      <c r="C21" s="23"/>
      <c r="D21" s="23"/>
      <c r="E21" s="22"/>
      <c r="F21" s="23"/>
      <c r="G21" s="23"/>
    </row>
    <row r="22" spans="1:16" ht="33" hidden="1" customHeight="1" x14ac:dyDescent="0.25">
      <c r="A22" s="464" t="s">
        <v>61</v>
      </c>
      <c r="B22" s="466" t="s">
        <v>62</v>
      </c>
      <c r="C22" s="24"/>
      <c r="D22" s="24"/>
      <c r="E22" s="468" t="s">
        <v>63</v>
      </c>
      <c r="F22" s="468" t="s">
        <v>64</v>
      </c>
      <c r="G22" s="468" t="s">
        <v>1</v>
      </c>
    </row>
    <row r="23" spans="1:16" ht="15.6" hidden="1" customHeight="1" x14ac:dyDescent="0.25">
      <c r="A23" s="465"/>
      <c r="B23" s="467"/>
      <c r="C23" s="25"/>
      <c r="D23" s="25"/>
      <c r="E23" s="469"/>
      <c r="F23" s="469"/>
      <c r="G23" s="469"/>
    </row>
    <row r="24" spans="1:16" ht="15.6" hidden="1" customHeight="1" x14ac:dyDescent="0.25">
      <c r="A24" s="26">
        <v>652</v>
      </c>
      <c r="B24" s="27" t="s">
        <v>74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25">
      <c r="A25" s="30">
        <v>6526</v>
      </c>
      <c r="B25" s="31" t="s">
        <v>75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25">
      <c r="A26" s="42">
        <v>673</v>
      </c>
      <c r="B26" s="43" t="s">
        <v>76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25">
      <c r="A27" s="34">
        <v>6731</v>
      </c>
      <c r="B27" s="35" t="s">
        <v>76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25">
      <c r="A28" s="490" t="s">
        <v>77</v>
      </c>
      <c r="B28" s="491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7" t="s">
        <v>78</v>
      </c>
    </row>
    <row r="31" spans="1:16" s="49" customFormat="1" ht="27" hidden="1" customHeight="1" x14ac:dyDescent="0.2">
      <c r="A31" s="464" t="s">
        <v>61</v>
      </c>
      <c r="B31" s="466" t="s">
        <v>62</v>
      </c>
      <c r="C31" s="24"/>
      <c r="D31" s="24"/>
      <c r="E31" s="468" t="s">
        <v>63</v>
      </c>
      <c r="F31" s="468" t="s">
        <v>64</v>
      </c>
      <c r="G31" s="468" t="s">
        <v>1</v>
      </c>
      <c r="H31" s="475"/>
      <c r="I31" s="476"/>
      <c r="J31" s="476"/>
      <c r="K31" s="476"/>
      <c r="L31" s="476"/>
      <c r="M31" s="470"/>
      <c r="N31" s="470"/>
      <c r="O31" s="48" t="s">
        <v>79</v>
      </c>
      <c r="P31" s="48" t="s">
        <v>80</v>
      </c>
    </row>
    <row r="32" spans="1:16" s="49" customFormat="1" ht="22.5" hidden="1" customHeight="1" x14ac:dyDescent="0.2">
      <c r="A32" s="465"/>
      <c r="B32" s="467"/>
      <c r="C32" s="25"/>
      <c r="D32" s="25"/>
      <c r="E32" s="469"/>
      <c r="F32" s="469"/>
      <c r="G32" s="469"/>
      <c r="H32" s="475"/>
      <c r="I32" s="476"/>
      <c r="J32" s="476"/>
      <c r="K32" s="476"/>
      <c r="L32" s="476"/>
      <c r="M32" s="470"/>
      <c r="N32" s="470"/>
      <c r="O32" s="50"/>
      <c r="P32" s="50"/>
    </row>
    <row r="33" spans="1:17" s="52" customFormat="1" ht="31.15" hidden="1" customHeight="1" x14ac:dyDescent="0.25">
      <c r="A33" s="26">
        <v>63</v>
      </c>
      <c r="B33" s="27" t="s">
        <v>21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25">
      <c r="A34" s="30">
        <v>634</v>
      </c>
      <c r="B34" s="31" t="s">
        <v>81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15" hidden="1" customHeight="1" x14ac:dyDescent="0.25">
      <c r="A35" s="30">
        <v>636</v>
      </c>
      <c r="B35" s="31" t="s">
        <v>82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25">
      <c r="A36" s="34">
        <v>638</v>
      </c>
      <c r="B36" s="35" t="s">
        <v>83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25">
      <c r="A37" s="488" t="s">
        <v>84</v>
      </c>
      <c r="B37" s="489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25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25">
      <c r="A39" s="47" t="s">
        <v>85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25">
      <c r="A40" s="464" t="s">
        <v>61</v>
      </c>
      <c r="B40" s="466" t="s">
        <v>62</v>
      </c>
      <c r="C40" s="24"/>
      <c r="D40" s="24"/>
      <c r="E40" s="468" t="s">
        <v>63</v>
      </c>
      <c r="F40" s="468" t="s">
        <v>64</v>
      </c>
      <c r="G40" s="468" t="s">
        <v>1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25">
      <c r="A41" s="465"/>
      <c r="B41" s="467"/>
      <c r="C41" s="25"/>
      <c r="D41" s="25"/>
      <c r="E41" s="469"/>
      <c r="F41" s="469"/>
      <c r="G41" s="469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15" hidden="1" customHeight="1" x14ac:dyDescent="0.25">
      <c r="A42" s="26">
        <v>66</v>
      </c>
      <c r="B42" s="27" t="s">
        <v>16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15" hidden="1" customHeight="1" x14ac:dyDescent="0.25">
      <c r="A43" s="34">
        <v>663</v>
      </c>
      <c r="B43" s="35" t="s">
        <v>86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25">
      <c r="A44" s="484" t="s">
        <v>87</v>
      </c>
      <c r="B44" s="485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25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25">
      <c r="A46" s="63" t="s">
        <v>88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25">
      <c r="A47" s="464" t="s">
        <v>61</v>
      </c>
      <c r="B47" s="466" t="s">
        <v>62</v>
      </c>
      <c r="C47" s="24"/>
      <c r="D47" s="24"/>
      <c r="E47" s="468" t="s">
        <v>63</v>
      </c>
      <c r="F47" s="468" t="s">
        <v>64</v>
      </c>
      <c r="G47" s="468" t="s">
        <v>1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25">
      <c r="A48" s="465"/>
      <c r="B48" s="467"/>
      <c r="C48" s="25"/>
      <c r="D48" s="25"/>
      <c r="E48" s="469"/>
      <c r="F48" s="469"/>
      <c r="G48" s="469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15" hidden="1" customHeight="1" x14ac:dyDescent="0.25">
      <c r="A49" s="26">
        <v>72</v>
      </c>
      <c r="B49" s="27" t="s">
        <v>23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25">
      <c r="A50" s="30">
        <v>722</v>
      </c>
      <c r="B50" s="31" t="s">
        <v>89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25">
      <c r="A51" s="34">
        <v>723</v>
      </c>
      <c r="B51" s="35" t="s">
        <v>90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25">
      <c r="A52" s="484" t="s">
        <v>91</v>
      </c>
      <c r="B52" s="485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25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25">
      <c r="A54" s="461" t="s">
        <v>92</v>
      </c>
      <c r="B54" s="462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25"/>
    <row r="56" spans="1:17" ht="18.75" hidden="1" customHeight="1" x14ac:dyDescent="0.25">
      <c r="A56" s="486" t="s">
        <v>93</v>
      </c>
      <c r="B56" s="486"/>
      <c r="C56" s="486"/>
      <c r="D56" s="486"/>
      <c r="E56" s="486"/>
      <c r="F56" s="486"/>
      <c r="G56" s="486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25">
      <c r="A57" s="20" t="s">
        <v>94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25">
      <c r="A58" s="473" t="s">
        <v>95</v>
      </c>
      <c r="B58" s="473"/>
      <c r="C58" s="473"/>
      <c r="D58" s="473"/>
      <c r="E58" s="473"/>
      <c r="F58" s="72"/>
    </row>
    <row r="59" spans="1:17" s="47" customFormat="1" ht="15.6" hidden="1" customHeight="1" x14ac:dyDescent="0.25">
      <c r="A59" s="487" t="s">
        <v>96</v>
      </c>
      <c r="B59" s="487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25">
      <c r="A60" s="74" t="s">
        <v>97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">
      <c r="A61" s="464" t="s">
        <v>98</v>
      </c>
      <c r="B61" s="466" t="s">
        <v>62</v>
      </c>
      <c r="C61" s="24"/>
      <c r="D61" s="24"/>
      <c r="E61" s="468" t="s">
        <v>63</v>
      </c>
      <c r="F61" s="468" t="s">
        <v>64</v>
      </c>
      <c r="G61" s="468" t="s">
        <v>1</v>
      </c>
      <c r="H61" s="475"/>
      <c r="I61" s="476"/>
      <c r="J61" s="476"/>
      <c r="K61" s="476"/>
      <c r="L61" s="476"/>
      <c r="M61" s="470"/>
      <c r="N61" s="470"/>
      <c r="O61" s="48" t="s">
        <v>79</v>
      </c>
      <c r="P61" s="48" t="s">
        <v>80</v>
      </c>
    </row>
    <row r="62" spans="1:17" s="49" customFormat="1" ht="15" hidden="1" customHeight="1" x14ac:dyDescent="0.2">
      <c r="A62" s="465"/>
      <c r="B62" s="467"/>
      <c r="C62" s="25"/>
      <c r="D62" s="25"/>
      <c r="E62" s="469"/>
      <c r="F62" s="469"/>
      <c r="G62" s="469"/>
      <c r="H62" s="475"/>
      <c r="I62" s="476"/>
      <c r="J62" s="476"/>
      <c r="K62" s="476"/>
      <c r="L62" s="476"/>
      <c r="M62" s="470"/>
      <c r="N62" s="470"/>
      <c r="O62" s="50"/>
      <c r="P62" s="50"/>
    </row>
    <row r="63" spans="1:17" s="52" customFormat="1" ht="15.75" hidden="1" customHeight="1" x14ac:dyDescent="0.25">
      <c r="A63" s="26">
        <v>32</v>
      </c>
      <c r="B63" s="27" t="s">
        <v>14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25">
      <c r="A64" s="30">
        <v>323</v>
      </c>
      <c r="B64" s="31" t="s">
        <v>99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25">
      <c r="A65" s="75">
        <v>41</v>
      </c>
      <c r="B65" s="43" t="s">
        <v>18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25">
      <c r="A66" s="76">
        <v>412</v>
      </c>
      <c r="B66" s="31" t="s">
        <v>100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25">
      <c r="A67" s="42">
        <v>42</v>
      </c>
      <c r="B67" s="43" t="s">
        <v>19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25">
      <c r="A68" s="30">
        <v>421</v>
      </c>
      <c r="B68" s="31" t="s">
        <v>101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25">
      <c r="A69" s="34">
        <v>422</v>
      </c>
      <c r="B69" s="35" t="s">
        <v>102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25">
      <c r="A70" s="461" t="s">
        <v>103</v>
      </c>
      <c r="B70" s="462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25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25">
      <c r="A72" s="74" t="s">
        <v>104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">
      <c r="A73" s="464" t="s">
        <v>98</v>
      </c>
      <c r="B73" s="466" t="s">
        <v>62</v>
      </c>
      <c r="C73" s="24"/>
      <c r="D73" s="24"/>
      <c r="E73" s="468" t="s">
        <v>63</v>
      </c>
      <c r="F73" s="468" t="s">
        <v>64</v>
      </c>
      <c r="G73" s="468" t="s">
        <v>1</v>
      </c>
      <c r="H73" s="475"/>
      <c r="I73" s="476"/>
      <c r="J73" s="476"/>
      <c r="K73" s="476"/>
      <c r="L73" s="476"/>
      <c r="M73" s="470"/>
      <c r="N73" s="470"/>
      <c r="O73" s="48" t="s">
        <v>79</v>
      </c>
      <c r="P73" s="48" t="s">
        <v>80</v>
      </c>
    </row>
    <row r="74" spans="1:17" s="49" customFormat="1" ht="15" hidden="1" customHeight="1" x14ac:dyDescent="0.2">
      <c r="A74" s="465"/>
      <c r="B74" s="467"/>
      <c r="C74" s="25"/>
      <c r="D74" s="25"/>
      <c r="E74" s="469"/>
      <c r="F74" s="469"/>
      <c r="G74" s="469"/>
      <c r="H74" s="475"/>
      <c r="I74" s="476"/>
      <c r="J74" s="476"/>
      <c r="K74" s="476"/>
      <c r="L74" s="476"/>
      <c r="M74" s="470"/>
      <c r="N74" s="470"/>
      <c r="O74" s="50"/>
      <c r="P74" s="50"/>
    </row>
    <row r="75" spans="1:17" s="52" customFormat="1" ht="14.25" hidden="1" customHeight="1" x14ac:dyDescent="0.25">
      <c r="A75" s="80">
        <v>31</v>
      </c>
      <c r="B75" s="27" t="s">
        <v>13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25">
      <c r="A76" s="76">
        <v>311</v>
      </c>
      <c r="B76" s="31" t="s">
        <v>105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25">
      <c r="A77" s="30">
        <v>313</v>
      </c>
      <c r="B77" s="31" t="s">
        <v>106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25">
      <c r="A78" s="42">
        <v>38</v>
      </c>
      <c r="B78" s="84" t="s">
        <v>107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25">
      <c r="A79" s="30">
        <v>381</v>
      </c>
      <c r="B79" s="31" t="s">
        <v>108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25">
      <c r="A80" s="42">
        <v>42</v>
      </c>
      <c r="B80" s="43" t="s">
        <v>19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25">
      <c r="A81" s="30">
        <v>422</v>
      </c>
      <c r="B81" s="31" t="s">
        <v>102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25">
      <c r="A82" s="30">
        <v>424</v>
      </c>
      <c r="B82" s="31" t="s">
        <v>109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25">
      <c r="A83" s="34">
        <v>426</v>
      </c>
      <c r="B83" s="35" t="s">
        <v>110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25">
      <c r="A84" s="461" t="s">
        <v>103</v>
      </c>
      <c r="B84" s="462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25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25">
      <c r="A86" s="47" t="s">
        <v>73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">
      <c r="A87" s="464" t="s">
        <v>98</v>
      </c>
      <c r="B87" s="466" t="s">
        <v>62</v>
      </c>
      <c r="C87" s="24"/>
      <c r="D87" s="24"/>
      <c r="E87" s="468" t="s">
        <v>63</v>
      </c>
      <c r="F87" s="468" t="s">
        <v>64</v>
      </c>
      <c r="G87" s="468" t="s">
        <v>1</v>
      </c>
      <c r="H87" s="475"/>
      <c r="I87" s="476"/>
      <c r="J87" s="476"/>
      <c r="K87" s="476"/>
      <c r="L87" s="476"/>
      <c r="M87" s="470"/>
      <c r="N87" s="470"/>
      <c r="O87" s="48" t="s">
        <v>79</v>
      </c>
      <c r="P87" s="48" t="s">
        <v>80</v>
      </c>
    </row>
    <row r="88" spans="1:17" s="49" customFormat="1" ht="15" hidden="1" customHeight="1" x14ac:dyDescent="0.2">
      <c r="A88" s="465"/>
      <c r="B88" s="467"/>
      <c r="C88" s="25"/>
      <c r="D88" s="25"/>
      <c r="E88" s="469"/>
      <c r="F88" s="469"/>
      <c r="G88" s="469"/>
      <c r="H88" s="475"/>
      <c r="I88" s="476"/>
      <c r="J88" s="476"/>
      <c r="K88" s="476"/>
      <c r="L88" s="476"/>
      <c r="M88" s="470"/>
      <c r="N88" s="470"/>
      <c r="O88" s="50"/>
      <c r="P88" s="50"/>
    </row>
    <row r="89" spans="1:17" s="52" customFormat="1" ht="14.25" hidden="1" customHeight="1" x14ac:dyDescent="0.25">
      <c r="A89" s="80">
        <v>31</v>
      </c>
      <c r="B89" s="27" t="s">
        <v>13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25">
      <c r="A90" s="76">
        <v>311</v>
      </c>
      <c r="B90" s="31" t="s">
        <v>105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25">
      <c r="A91" s="30">
        <v>312</v>
      </c>
      <c r="B91" s="31" t="s">
        <v>111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25">
      <c r="A92" s="30">
        <v>313</v>
      </c>
      <c r="B92" s="31" t="s">
        <v>106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25">
      <c r="A93" s="42">
        <v>32</v>
      </c>
      <c r="B93" s="43" t="s">
        <v>14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25">
      <c r="A94" s="30">
        <v>321</v>
      </c>
      <c r="B94" s="31" t="s">
        <v>112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25">
      <c r="A95" s="30">
        <v>322</v>
      </c>
      <c r="B95" s="31" t="s">
        <v>113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25">
      <c r="A96" s="30">
        <v>323</v>
      </c>
      <c r="B96" s="31" t="s">
        <v>99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25">
      <c r="A97" s="30">
        <v>329</v>
      </c>
      <c r="B97" s="31" t="s">
        <v>114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25">
      <c r="A98" s="42">
        <v>34</v>
      </c>
      <c r="B98" s="43" t="s">
        <v>17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25">
      <c r="A99" s="30">
        <v>342</v>
      </c>
      <c r="B99" s="31" t="s">
        <v>115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25">
      <c r="A100" s="30">
        <v>343</v>
      </c>
      <c r="B100" s="31" t="s">
        <v>116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15" hidden="1" customHeight="1" x14ac:dyDescent="0.25">
      <c r="A101" s="42">
        <v>37</v>
      </c>
      <c r="B101" s="43" t="s">
        <v>117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15" hidden="1" customHeight="1" x14ac:dyDescent="0.25">
      <c r="A102" s="34">
        <v>372</v>
      </c>
      <c r="B102" s="35" t="s">
        <v>118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25">
      <c r="A103" s="461" t="s">
        <v>103</v>
      </c>
      <c r="B103" s="462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25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25">
      <c r="A105" s="47" t="s">
        <v>119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">
      <c r="A106" s="464" t="s">
        <v>98</v>
      </c>
      <c r="B106" s="466" t="s">
        <v>62</v>
      </c>
      <c r="C106" s="24"/>
      <c r="D106" s="24"/>
      <c r="E106" s="468" t="s">
        <v>63</v>
      </c>
      <c r="F106" s="468" t="s">
        <v>64</v>
      </c>
      <c r="G106" s="468" t="s">
        <v>1</v>
      </c>
      <c r="H106" s="475"/>
      <c r="I106" s="476"/>
      <c r="J106" s="476"/>
      <c r="K106" s="476"/>
      <c r="L106" s="476"/>
      <c r="M106" s="470"/>
      <c r="N106" s="470"/>
      <c r="O106" s="48" t="s">
        <v>79</v>
      </c>
      <c r="P106" s="48" t="s">
        <v>80</v>
      </c>
    </row>
    <row r="107" spans="1:17" s="49" customFormat="1" ht="15" hidden="1" customHeight="1" x14ac:dyDescent="0.2">
      <c r="A107" s="465"/>
      <c r="B107" s="467"/>
      <c r="C107" s="25"/>
      <c r="D107" s="25"/>
      <c r="E107" s="469"/>
      <c r="F107" s="469"/>
      <c r="G107" s="469"/>
      <c r="H107" s="475"/>
      <c r="I107" s="476"/>
      <c r="J107" s="476"/>
      <c r="K107" s="476"/>
      <c r="L107" s="476"/>
      <c r="M107" s="470"/>
      <c r="N107" s="470"/>
      <c r="O107" s="50"/>
      <c r="P107" s="50"/>
    </row>
    <row r="108" spans="1:17" s="52" customFormat="1" ht="15.75" hidden="1" customHeight="1" x14ac:dyDescent="0.25">
      <c r="A108" s="26">
        <v>32</v>
      </c>
      <c r="B108" s="27" t="s">
        <v>14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25">
      <c r="A109" s="30">
        <v>321</v>
      </c>
      <c r="B109" s="31" t="s">
        <v>112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25">
      <c r="A110" s="30">
        <v>322</v>
      </c>
      <c r="B110" s="31" t="s">
        <v>113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25">
      <c r="A111" s="42">
        <v>42</v>
      </c>
      <c r="B111" s="43" t="s">
        <v>19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25">
      <c r="A112" s="30">
        <v>422</v>
      </c>
      <c r="B112" s="31" t="s">
        <v>102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15" hidden="1" customHeight="1" x14ac:dyDescent="0.25">
      <c r="A113" s="34">
        <v>424</v>
      </c>
      <c r="B113" s="35" t="s">
        <v>109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25">
      <c r="A114" s="461" t="s">
        <v>103</v>
      </c>
      <c r="B114" s="462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25">
      <c r="A115" s="86">
        <v>3212</v>
      </c>
      <c r="B115" s="87" t="s">
        <v>120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25">
      <c r="A116" s="86">
        <v>3213</v>
      </c>
      <c r="B116" s="87" t="s">
        <v>121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25">
      <c r="A117" s="42">
        <v>322</v>
      </c>
      <c r="B117" s="43" t="s">
        <v>113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93">
        <v>3225</v>
      </c>
      <c r="B118" s="94" t="s">
        <v>122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25">
      <c r="A119" s="461" t="s">
        <v>103</v>
      </c>
      <c r="B119" s="462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25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25">
      <c r="A121" s="483" t="s">
        <v>123</v>
      </c>
      <c r="B121" s="483"/>
      <c r="C121" s="483"/>
      <c r="D121" s="483"/>
      <c r="E121" s="483"/>
      <c r="F121" s="72" t="s">
        <v>124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">
      <c r="A122" s="464" t="s">
        <v>98</v>
      </c>
      <c r="B122" s="466" t="s">
        <v>62</v>
      </c>
      <c r="C122" s="24"/>
      <c r="D122" s="24"/>
      <c r="E122" s="468" t="s">
        <v>125</v>
      </c>
      <c r="F122" s="479" t="s">
        <v>39</v>
      </c>
      <c r="G122" s="479" t="s">
        <v>52</v>
      </c>
      <c r="H122" s="479" t="s">
        <v>54</v>
      </c>
      <c r="I122" s="479" t="s">
        <v>55</v>
      </c>
      <c r="J122" s="479" t="s">
        <v>22</v>
      </c>
      <c r="K122" s="479" t="s">
        <v>126</v>
      </c>
      <c r="L122" s="479">
        <v>922</v>
      </c>
      <c r="M122" s="468" t="s">
        <v>127</v>
      </c>
      <c r="N122" s="468" t="s">
        <v>128</v>
      </c>
      <c r="O122" s="48" t="s">
        <v>79</v>
      </c>
      <c r="P122" s="48" t="s">
        <v>80</v>
      </c>
    </row>
    <row r="123" spans="1:17" s="49" customFormat="1" ht="65.25" hidden="1" customHeight="1" x14ac:dyDescent="0.2">
      <c r="A123" s="465"/>
      <c r="B123" s="467"/>
      <c r="C123" s="25"/>
      <c r="D123" s="25"/>
      <c r="E123" s="469"/>
      <c r="F123" s="480"/>
      <c r="G123" s="480"/>
      <c r="H123" s="480"/>
      <c r="I123" s="480"/>
      <c r="J123" s="480"/>
      <c r="K123" s="480"/>
      <c r="L123" s="480"/>
      <c r="M123" s="469"/>
      <c r="N123" s="469"/>
      <c r="O123" s="50"/>
      <c r="P123" s="50"/>
    </row>
    <row r="124" spans="1:17" ht="14.25" hidden="1" customHeight="1" x14ac:dyDescent="0.25">
      <c r="A124" s="26">
        <v>32</v>
      </c>
      <c r="B124" s="27" t="s">
        <v>14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25">
      <c r="A125" s="42">
        <v>321</v>
      </c>
      <c r="B125" s="43" t="s">
        <v>112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25">
      <c r="A126" s="86">
        <v>3212</v>
      </c>
      <c r="B126" s="87" t="s">
        <v>120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25">
      <c r="A127" s="86">
        <v>3213</v>
      </c>
      <c r="B127" s="87" t="s">
        <v>121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25">
      <c r="A128" s="42">
        <v>322</v>
      </c>
      <c r="B128" s="43" t="s">
        <v>113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25">
      <c r="A129" s="93">
        <v>3225</v>
      </c>
      <c r="B129" s="94" t="s">
        <v>122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25">
      <c r="A130" s="461" t="s">
        <v>103</v>
      </c>
      <c r="B130" s="462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25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25">
      <c r="A132" s="483" t="s">
        <v>123</v>
      </c>
      <c r="B132" s="483"/>
      <c r="C132" s="483"/>
      <c r="D132" s="483"/>
      <c r="E132" s="483"/>
      <c r="F132" s="72" t="s">
        <v>129</v>
      </c>
    </row>
    <row r="133" spans="1:16" s="49" customFormat="1" ht="32.25" hidden="1" customHeight="1" x14ac:dyDescent="0.2">
      <c r="A133" s="464" t="s">
        <v>98</v>
      </c>
      <c r="B133" s="466" t="s">
        <v>62</v>
      </c>
      <c r="C133" s="24"/>
      <c r="D133" s="24"/>
      <c r="E133" s="468" t="s">
        <v>125</v>
      </c>
      <c r="F133" s="479" t="s">
        <v>39</v>
      </c>
      <c r="G133" s="479" t="s">
        <v>52</v>
      </c>
      <c r="H133" s="479" t="s">
        <v>54</v>
      </c>
      <c r="I133" s="479" t="s">
        <v>55</v>
      </c>
      <c r="J133" s="479" t="s">
        <v>22</v>
      </c>
      <c r="K133" s="479" t="s">
        <v>126</v>
      </c>
      <c r="L133" s="479">
        <v>922</v>
      </c>
      <c r="M133" s="468" t="s">
        <v>127</v>
      </c>
      <c r="N133" s="468" t="s">
        <v>128</v>
      </c>
      <c r="O133" s="48" t="s">
        <v>79</v>
      </c>
      <c r="P133" s="48" t="s">
        <v>80</v>
      </c>
    </row>
    <row r="134" spans="1:16" s="49" customFormat="1" ht="60" hidden="1" customHeight="1" x14ac:dyDescent="0.2">
      <c r="A134" s="465"/>
      <c r="B134" s="467"/>
      <c r="C134" s="25"/>
      <c r="D134" s="25"/>
      <c r="E134" s="469"/>
      <c r="F134" s="480"/>
      <c r="G134" s="480"/>
      <c r="H134" s="480"/>
      <c r="I134" s="480"/>
      <c r="J134" s="480"/>
      <c r="K134" s="480"/>
      <c r="L134" s="480"/>
      <c r="M134" s="469"/>
      <c r="N134" s="469"/>
      <c r="O134" s="50"/>
      <c r="P134" s="50"/>
    </row>
    <row r="135" spans="1:16" ht="14.25" hidden="1" customHeight="1" x14ac:dyDescent="0.25">
      <c r="A135" s="26">
        <v>32</v>
      </c>
      <c r="B135" s="27" t="s">
        <v>14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25">
      <c r="A136" s="42">
        <v>321</v>
      </c>
      <c r="B136" s="43" t="s">
        <v>112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25">
      <c r="A137" s="86">
        <v>3213</v>
      </c>
      <c r="B137" s="87" t="s">
        <v>121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25">
      <c r="A138" s="42">
        <v>322</v>
      </c>
      <c r="B138" s="43" t="s">
        <v>113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25">
      <c r="A139" s="86">
        <v>3221</v>
      </c>
      <c r="B139" s="87" t="s">
        <v>130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25">
      <c r="A140" s="86">
        <v>3222</v>
      </c>
      <c r="B140" s="87" t="s">
        <v>131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25">
      <c r="A141" s="86">
        <v>3225</v>
      </c>
      <c r="B141" s="87" t="s">
        <v>122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25">
      <c r="A142" s="42">
        <v>323</v>
      </c>
      <c r="B142" s="43" t="s">
        <v>99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25">
      <c r="A143" s="86">
        <v>3236</v>
      </c>
      <c r="B143" s="87" t="s">
        <v>132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25">
      <c r="A144" s="86">
        <v>3237</v>
      </c>
      <c r="B144" s="87" t="s">
        <v>133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25">
      <c r="A145" s="93">
        <v>3239</v>
      </c>
      <c r="B145" s="94" t="s">
        <v>134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25">
      <c r="A146" s="461" t="s">
        <v>103</v>
      </c>
      <c r="B146" s="462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25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25">
      <c r="A148" s="483" t="s">
        <v>123</v>
      </c>
      <c r="B148" s="483"/>
      <c r="C148" s="483"/>
      <c r="D148" s="483"/>
      <c r="E148" s="483"/>
      <c r="F148" s="72" t="s">
        <v>135</v>
      </c>
    </row>
    <row r="149" spans="1:16" ht="32.25" hidden="1" customHeight="1" x14ac:dyDescent="0.25">
      <c r="A149" s="464" t="s">
        <v>98</v>
      </c>
      <c r="B149" s="466" t="s">
        <v>62</v>
      </c>
      <c r="C149" s="24"/>
      <c r="D149" s="24"/>
      <c r="E149" s="468" t="s">
        <v>125</v>
      </c>
      <c r="F149" s="479" t="s">
        <v>39</v>
      </c>
      <c r="G149" s="479" t="s">
        <v>52</v>
      </c>
      <c r="H149" s="479" t="s">
        <v>54</v>
      </c>
      <c r="I149" s="479" t="s">
        <v>55</v>
      </c>
      <c r="J149" s="479" t="s">
        <v>22</v>
      </c>
      <c r="K149" s="479" t="s">
        <v>126</v>
      </c>
      <c r="L149" s="479">
        <v>922</v>
      </c>
      <c r="M149" s="468" t="s">
        <v>127</v>
      </c>
      <c r="N149" s="468" t="s">
        <v>128</v>
      </c>
    </row>
    <row r="150" spans="1:16" ht="54.75" hidden="1" customHeight="1" x14ac:dyDescent="0.25">
      <c r="A150" s="465"/>
      <c r="B150" s="467"/>
      <c r="C150" s="25"/>
      <c r="D150" s="25"/>
      <c r="E150" s="469"/>
      <c r="F150" s="480"/>
      <c r="G150" s="480"/>
      <c r="H150" s="480"/>
      <c r="I150" s="480"/>
      <c r="J150" s="480"/>
      <c r="K150" s="480"/>
      <c r="L150" s="480"/>
      <c r="M150" s="469"/>
      <c r="N150" s="469"/>
    </row>
    <row r="151" spans="1:16" ht="15.75" hidden="1" customHeight="1" x14ac:dyDescent="0.25">
      <c r="A151" s="26">
        <v>32</v>
      </c>
      <c r="B151" s="27" t="s">
        <v>14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25">
      <c r="A152" s="42">
        <v>322</v>
      </c>
      <c r="B152" s="43" t="s">
        <v>113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25">
      <c r="A153" s="86">
        <v>3221</v>
      </c>
      <c r="B153" s="87" t="s">
        <v>130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25">
      <c r="A154" s="86">
        <v>3225</v>
      </c>
      <c r="B154" s="87" t="s">
        <v>122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25">
      <c r="A155" s="42">
        <v>323</v>
      </c>
      <c r="B155" s="43" t="s">
        <v>99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25">
      <c r="A156" s="86">
        <v>3235</v>
      </c>
      <c r="B156" s="87" t="s">
        <v>136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25">
      <c r="A157" s="86">
        <v>3237</v>
      </c>
      <c r="B157" s="87" t="s">
        <v>133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25">
      <c r="A158" s="93">
        <v>3239</v>
      </c>
      <c r="B158" s="94" t="s">
        <v>134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">
      <c r="A159" s="481" t="s">
        <v>103</v>
      </c>
      <c r="B159" s="482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25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25">
      <c r="A161" s="483" t="s">
        <v>123</v>
      </c>
      <c r="B161" s="483"/>
      <c r="C161" s="483"/>
      <c r="D161" s="483"/>
      <c r="E161" s="483"/>
      <c r="F161" s="72" t="s">
        <v>137</v>
      </c>
    </row>
    <row r="162" spans="1:16" ht="32.25" hidden="1" customHeight="1" x14ac:dyDescent="0.25">
      <c r="A162" s="464" t="s">
        <v>98</v>
      </c>
      <c r="B162" s="466" t="s">
        <v>62</v>
      </c>
      <c r="C162" s="24"/>
      <c r="D162" s="24"/>
      <c r="E162" s="468" t="s">
        <v>125</v>
      </c>
      <c r="F162" s="479" t="s">
        <v>39</v>
      </c>
      <c r="G162" s="479" t="s">
        <v>52</v>
      </c>
      <c r="H162" s="479" t="s">
        <v>54</v>
      </c>
      <c r="I162" s="479" t="s">
        <v>55</v>
      </c>
      <c r="J162" s="479" t="s">
        <v>22</v>
      </c>
      <c r="K162" s="479" t="s">
        <v>126</v>
      </c>
      <c r="L162" s="479">
        <v>922</v>
      </c>
      <c r="M162" s="468" t="s">
        <v>127</v>
      </c>
      <c r="N162" s="468" t="s">
        <v>128</v>
      </c>
    </row>
    <row r="163" spans="1:16" ht="57.75" hidden="1" customHeight="1" x14ac:dyDescent="0.25">
      <c r="A163" s="465"/>
      <c r="B163" s="467"/>
      <c r="C163" s="25"/>
      <c r="D163" s="25"/>
      <c r="E163" s="469"/>
      <c r="F163" s="480"/>
      <c r="G163" s="480"/>
      <c r="H163" s="480"/>
      <c r="I163" s="480"/>
      <c r="J163" s="480"/>
      <c r="K163" s="480"/>
      <c r="L163" s="480"/>
      <c r="M163" s="469"/>
      <c r="N163" s="469"/>
    </row>
    <row r="164" spans="1:16" ht="15.75" hidden="1" customHeight="1" x14ac:dyDescent="0.25">
      <c r="A164" s="42">
        <v>32</v>
      </c>
      <c r="B164" s="43" t="s">
        <v>14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25">
      <c r="A165" s="42">
        <v>321</v>
      </c>
      <c r="B165" s="43" t="s">
        <v>112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25">
      <c r="A166" s="86">
        <v>3213</v>
      </c>
      <c r="B166" s="87" t="s">
        <v>121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25">
      <c r="A167" s="42">
        <v>322</v>
      </c>
      <c r="B167" s="43" t="s">
        <v>113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25">
      <c r="A168" s="86">
        <v>3221</v>
      </c>
      <c r="B168" s="87" t="s">
        <v>130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25">
      <c r="A169" s="86">
        <v>3225</v>
      </c>
      <c r="B169" s="87" t="s">
        <v>122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25">
      <c r="A170" s="42">
        <v>323</v>
      </c>
      <c r="B170" s="43" t="s">
        <v>99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25">
      <c r="A171" s="86">
        <v>3237</v>
      </c>
      <c r="B171" s="87" t="s">
        <v>133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25">
      <c r="A172" s="86">
        <v>3239</v>
      </c>
      <c r="B172" s="87" t="s">
        <v>134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">
      <c r="A173" s="481" t="s">
        <v>103</v>
      </c>
      <c r="B173" s="482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7" t="s">
        <v>88</v>
      </c>
    </row>
    <row r="177" spans="1:17" s="49" customFormat="1" ht="28.5" hidden="1" customHeight="1" x14ac:dyDescent="0.2">
      <c r="A177" s="464" t="s">
        <v>98</v>
      </c>
      <c r="B177" s="466" t="s">
        <v>62</v>
      </c>
      <c r="C177" s="24"/>
      <c r="D177" s="24"/>
      <c r="E177" s="468" t="s">
        <v>63</v>
      </c>
      <c r="F177" s="468" t="s">
        <v>64</v>
      </c>
      <c r="G177" s="468" t="s">
        <v>1</v>
      </c>
      <c r="H177" s="475"/>
      <c r="I177" s="476"/>
      <c r="J177" s="476"/>
      <c r="K177" s="476"/>
      <c r="L177" s="476"/>
      <c r="M177" s="470"/>
      <c r="N177" s="470"/>
      <c r="O177" s="48" t="s">
        <v>79</v>
      </c>
      <c r="P177" s="48" t="s">
        <v>80</v>
      </c>
    </row>
    <row r="178" spans="1:17" s="49" customFormat="1" ht="15" hidden="1" customHeight="1" x14ac:dyDescent="0.2">
      <c r="A178" s="465"/>
      <c r="B178" s="467"/>
      <c r="C178" s="25"/>
      <c r="D178" s="25"/>
      <c r="E178" s="469"/>
      <c r="F178" s="469"/>
      <c r="G178" s="469"/>
      <c r="H178" s="475"/>
      <c r="I178" s="476"/>
      <c r="J178" s="476"/>
      <c r="K178" s="476"/>
      <c r="L178" s="476"/>
      <c r="M178" s="470"/>
      <c r="N178" s="470"/>
      <c r="O178" s="50"/>
      <c r="P178" s="50"/>
    </row>
    <row r="179" spans="1:17" s="52" customFormat="1" ht="15.75" hidden="1" customHeight="1" x14ac:dyDescent="0.25">
      <c r="A179" s="26">
        <v>32</v>
      </c>
      <c r="B179" s="27" t="s">
        <v>14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25">
      <c r="A180" s="30">
        <v>322</v>
      </c>
      <c r="B180" s="31" t="s">
        <v>113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15" hidden="1" customHeight="1" x14ac:dyDescent="0.25">
      <c r="A181" s="42">
        <v>42</v>
      </c>
      <c r="B181" s="43" t="s">
        <v>19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25">
      <c r="A182" s="34">
        <v>423</v>
      </c>
      <c r="B182" s="35" t="s">
        <v>138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25">
      <c r="A183" s="461" t="s">
        <v>103</v>
      </c>
      <c r="B183" s="462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473" t="s">
        <v>139</v>
      </c>
      <c r="B185" s="473"/>
      <c r="C185" s="473"/>
      <c r="D185" s="473"/>
      <c r="E185" s="473"/>
      <c r="F185" s="473"/>
      <c r="G185" s="473"/>
    </row>
    <row r="186" spans="1:17" ht="15.6" hidden="1" customHeight="1" x14ac:dyDescent="0.25">
      <c r="A186" s="47" t="s">
        <v>140</v>
      </c>
    </row>
    <row r="187" spans="1:17" s="49" customFormat="1" ht="19.5" hidden="1" customHeight="1" x14ac:dyDescent="0.2">
      <c r="A187" s="464" t="s">
        <v>98</v>
      </c>
      <c r="B187" s="466" t="s">
        <v>62</v>
      </c>
      <c r="C187" s="24"/>
      <c r="D187" s="24"/>
      <c r="E187" s="468" t="s">
        <v>63</v>
      </c>
      <c r="F187" s="468" t="s">
        <v>64</v>
      </c>
      <c r="G187" s="468" t="s">
        <v>1</v>
      </c>
      <c r="H187" s="475"/>
      <c r="I187" s="476"/>
      <c r="J187" s="476"/>
      <c r="K187" s="476"/>
      <c r="L187" s="476"/>
      <c r="M187" s="470"/>
      <c r="N187" s="470"/>
      <c r="O187" s="48" t="s">
        <v>79</v>
      </c>
      <c r="P187" s="48" t="s">
        <v>80</v>
      </c>
    </row>
    <row r="188" spans="1:17" s="49" customFormat="1" ht="25.5" hidden="1" customHeight="1" x14ac:dyDescent="0.2">
      <c r="A188" s="465"/>
      <c r="B188" s="467"/>
      <c r="C188" s="25"/>
      <c r="D188" s="25"/>
      <c r="E188" s="469"/>
      <c r="F188" s="469"/>
      <c r="G188" s="469"/>
      <c r="H188" s="475"/>
      <c r="I188" s="476"/>
      <c r="J188" s="476"/>
      <c r="K188" s="476"/>
      <c r="L188" s="476"/>
      <c r="M188" s="470"/>
      <c r="N188" s="470"/>
      <c r="O188" s="50"/>
      <c r="P188" s="50"/>
    </row>
    <row r="189" spans="1:17" s="52" customFormat="1" ht="15.75" hidden="1" customHeight="1" x14ac:dyDescent="0.25">
      <c r="A189" s="26">
        <v>32</v>
      </c>
      <c r="B189" s="27" t="s">
        <v>14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25">
      <c r="A190" s="30">
        <v>321</v>
      </c>
      <c r="B190" s="31" t="s">
        <v>112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25">
      <c r="A191" s="30">
        <v>323</v>
      </c>
      <c r="B191" s="31" t="s">
        <v>99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15" hidden="1" customHeight="1" x14ac:dyDescent="0.25">
      <c r="A192" s="42">
        <v>42</v>
      </c>
      <c r="B192" s="43" t="s">
        <v>141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25">
      <c r="A193" s="30">
        <v>422</v>
      </c>
      <c r="B193" s="31" t="s">
        <v>102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15" hidden="1" customHeight="1" x14ac:dyDescent="0.25">
      <c r="A194" s="42">
        <v>45</v>
      </c>
      <c r="B194" s="43" t="s">
        <v>142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25">
      <c r="A195" s="30">
        <v>451</v>
      </c>
      <c r="B195" s="31" t="s">
        <v>143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25">
      <c r="A196" s="477" t="s">
        <v>103</v>
      </c>
      <c r="B196" s="478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">
      <c r="A197" s="74"/>
      <c r="F197" s="111"/>
    </row>
    <row r="198" spans="1:17" ht="15.6" hidden="1" customHeight="1" x14ac:dyDescent="0.25">
      <c r="A198" s="473" t="s">
        <v>144</v>
      </c>
      <c r="B198" s="473"/>
      <c r="C198" s="473"/>
      <c r="D198" s="473"/>
      <c r="E198" s="473"/>
      <c r="F198" s="473"/>
      <c r="G198" s="473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25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25">
      <c r="A200" s="47" t="s">
        <v>140</v>
      </c>
    </row>
    <row r="201" spans="1:17" s="49" customFormat="1" ht="27.75" hidden="1" customHeight="1" x14ac:dyDescent="0.2">
      <c r="A201" s="464" t="s">
        <v>98</v>
      </c>
      <c r="B201" s="466" t="s">
        <v>62</v>
      </c>
      <c r="C201" s="24"/>
      <c r="D201" s="24"/>
      <c r="E201" s="468" t="s">
        <v>63</v>
      </c>
      <c r="F201" s="468" t="s">
        <v>64</v>
      </c>
      <c r="G201" s="468" t="s">
        <v>1</v>
      </c>
      <c r="H201" s="475"/>
      <c r="I201" s="476"/>
      <c r="J201" s="476"/>
      <c r="K201" s="476"/>
      <c r="L201" s="476"/>
      <c r="M201" s="470"/>
      <c r="N201" s="470"/>
      <c r="O201" s="48" t="s">
        <v>79</v>
      </c>
      <c r="P201" s="48" t="s">
        <v>80</v>
      </c>
    </row>
    <row r="202" spans="1:17" s="49" customFormat="1" ht="15" hidden="1" customHeight="1" x14ac:dyDescent="0.2">
      <c r="A202" s="465"/>
      <c r="B202" s="467"/>
      <c r="C202" s="25"/>
      <c r="D202" s="25"/>
      <c r="E202" s="469"/>
      <c r="F202" s="469"/>
      <c r="G202" s="469"/>
      <c r="H202" s="475"/>
      <c r="I202" s="476"/>
      <c r="J202" s="476"/>
      <c r="K202" s="476"/>
      <c r="L202" s="476"/>
      <c r="M202" s="470"/>
      <c r="N202" s="470"/>
      <c r="O202" s="50"/>
      <c r="P202" s="50"/>
    </row>
    <row r="203" spans="1:17" s="52" customFormat="1" ht="31.15" hidden="1" customHeight="1" x14ac:dyDescent="0.25">
      <c r="A203" s="26">
        <v>45</v>
      </c>
      <c r="B203" s="27" t="s">
        <v>145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25">
      <c r="A204" s="34">
        <v>451</v>
      </c>
      <c r="B204" s="35" t="s">
        <v>143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25">
      <c r="A205" s="461" t="s">
        <v>103</v>
      </c>
      <c r="B205" s="462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25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25">
      <c r="A207" s="473" t="s">
        <v>146</v>
      </c>
      <c r="B207" s="473"/>
      <c r="C207" s="473"/>
      <c r="D207" s="473"/>
      <c r="E207" s="473"/>
      <c r="F207" s="473"/>
      <c r="G207" s="473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25">
      <c r="A208" s="47" t="s">
        <v>140</v>
      </c>
    </row>
    <row r="209" spans="1:17" s="49" customFormat="1" ht="28.5" hidden="1" customHeight="1" x14ac:dyDescent="0.2">
      <c r="A209" s="464" t="s">
        <v>98</v>
      </c>
      <c r="B209" s="466" t="s">
        <v>62</v>
      </c>
      <c r="C209" s="24"/>
      <c r="D209" s="24"/>
      <c r="E209" s="468" t="s">
        <v>63</v>
      </c>
      <c r="F209" s="468" t="s">
        <v>64</v>
      </c>
      <c r="G209" s="468" t="s">
        <v>1</v>
      </c>
      <c r="H209" s="475"/>
      <c r="I209" s="476"/>
      <c r="J209" s="476"/>
      <c r="K209" s="476"/>
      <c r="L209" s="476"/>
      <c r="M209" s="470"/>
      <c r="N209" s="470"/>
      <c r="O209" s="48" t="s">
        <v>79</v>
      </c>
      <c r="P209" s="48" t="s">
        <v>80</v>
      </c>
    </row>
    <row r="210" spans="1:17" s="49" customFormat="1" ht="15" hidden="1" customHeight="1" x14ac:dyDescent="0.2">
      <c r="A210" s="465"/>
      <c r="B210" s="467"/>
      <c r="C210" s="25"/>
      <c r="D210" s="25"/>
      <c r="E210" s="469"/>
      <c r="F210" s="469"/>
      <c r="G210" s="469"/>
      <c r="H210" s="475"/>
      <c r="I210" s="476"/>
      <c r="J210" s="476"/>
      <c r="K210" s="476"/>
      <c r="L210" s="476"/>
      <c r="M210" s="470"/>
      <c r="N210" s="470"/>
      <c r="O210" s="50"/>
      <c r="P210" s="50"/>
    </row>
    <row r="211" spans="1:17" ht="31.15" hidden="1" customHeight="1" x14ac:dyDescent="0.25">
      <c r="A211" s="26">
        <v>42</v>
      </c>
      <c r="B211" s="27" t="s">
        <v>19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25">
      <c r="A212" s="30">
        <v>422</v>
      </c>
      <c r="B212" s="31" t="s">
        <v>102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15" hidden="1" customHeight="1" x14ac:dyDescent="0.25">
      <c r="A213" s="42">
        <v>45</v>
      </c>
      <c r="B213" s="43" t="s">
        <v>145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25">
      <c r="A214" s="34">
        <v>451</v>
      </c>
      <c r="B214" s="35" t="s">
        <v>143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25">
      <c r="A215" s="461" t="s">
        <v>103</v>
      </c>
      <c r="B215" s="462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25">
      <c r="A216" s="471" t="s">
        <v>147</v>
      </c>
      <c r="B216" s="471"/>
      <c r="C216" s="471"/>
      <c r="D216" s="471"/>
      <c r="E216" s="471"/>
      <c r="F216" s="471"/>
      <c r="G216" s="471"/>
    </row>
    <row r="217" spans="1:17" ht="15.6" hidden="1" customHeight="1" x14ac:dyDescent="0.25">
      <c r="E217" s="114"/>
    </row>
    <row r="218" spans="1:17" ht="15.6" hidden="1" customHeight="1" x14ac:dyDescent="0.25">
      <c r="A218" s="106">
        <v>1</v>
      </c>
      <c r="B218" s="47" t="s">
        <v>39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25">
      <c r="A219" s="106">
        <v>3</v>
      </c>
      <c r="B219" s="47" t="s">
        <v>53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25">
      <c r="A220" s="106">
        <v>4</v>
      </c>
      <c r="B220" s="47" t="s">
        <v>54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25">
      <c r="A221" s="106">
        <v>5</v>
      </c>
      <c r="B221" s="47" t="s">
        <v>148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25">
      <c r="A222" s="106">
        <v>6</v>
      </c>
      <c r="B222" s="47" t="s">
        <v>37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15" hidden="1" customHeight="1" x14ac:dyDescent="0.25">
      <c r="A223" s="101">
        <v>7</v>
      </c>
      <c r="B223" s="115" t="s">
        <v>22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25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25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25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25">
      <c r="A227" s="472" t="s">
        <v>149</v>
      </c>
      <c r="B227" s="472"/>
      <c r="C227" s="472"/>
      <c r="D227" s="472"/>
      <c r="E227" s="472"/>
      <c r="F227" s="472"/>
      <c r="G227" s="472"/>
      <c r="H227" s="116"/>
    </row>
    <row r="228" spans="1:16" ht="15.6" hidden="1" customHeight="1" x14ac:dyDescent="0.25">
      <c r="A228" s="473" t="s">
        <v>95</v>
      </c>
      <c r="B228" s="473"/>
      <c r="C228" s="473"/>
      <c r="D228" s="473"/>
      <c r="E228" s="473"/>
      <c r="F228" s="40"/>
      <c r="G228" s="40"/>
      <c r="H228" s="116"/>
    </row>
    <row r="229" spans="1:16" ht="25.5" hidden="1" customHeight="1" x14ac:dyDescent="0.25">
      <c r="A229" s="474" t="s">
        <v>150</v>
      </c>
      <c r="B229" s="474"/>
      <c r="C229" s="474"/>
      <c r="D229" s="474"/>
      <c r="E229" s="474"/>
      <c r="F229" s="474"/>
      <c r="G229" s="474"/>
      <c r="H229" s="116"/>
    </row>
    <row r="230" spans="1:16" ht="15.6" hidden="1" customHeight="1" x14ac:dyDescent="0.25">
      <c r="A230" s="464" t="s">
        <v>98</v>
      </c>
      <c r="B230" s="466" t="s">
        <v>62</v>
      </c>
      <c r="C230" s="24"/>
      <c r="D230" s="24"/>
      <c r="E230" s="468" t="s">
        <v>63</v>
      </c>
      <c r="F230" s="468" t="s">
        <v>64</v>
      </c>
      <c r="G230" s="468" t="s">
        <v>1</v>
      </c>
      <c r="H230" s="116"/>
    </row>
    <row r="231" spans="1:16" ht="37.5" hidden="1" customHeight="1" x14ac:dyDescent="0.25">
      <c r="A231" s="465"/>
      <c r="B231" s="467"/>
      <c r="C231" s="25"/>
      <c r="D231" s="25"/>
      <c r="E231" s="469"/>
      <c r="F231" s="469"/>
      <c r="G231" s="469"/>
      <c r="H231" s="116"/>
    </row>
    <row r="232" spans="1:16" ht="15.6" hidden="1" customHeight="1" x14ac:dyDescent="0.25">
      <c r="A232" s="26">
        <v>922</v>
      </c>
      <c r="B232" s="27" t="s">
        <v>51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25">
      <c r="A233" s="34">
        <v>92221</v>
      </c>
      <c r="B233" s="35" t="s">
        <v>151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25">
      <c r="A234" s="461" t="s">
        <v>103</v>
      </c>
      <c r="B234" s="462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25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25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25">
      <c r="A237" s="461" t="s">
        <v>26</v>
      </c>
      <c r="B237" s="462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25">
      <c r="A238" s="461" t="s">
        <v>152</v>
      </c>
      <c r="B238" s="462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25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.75" x14ac:dyDescent="0.25">
      <c r="A241" s="463" t="s">
        <v>153</v>
      </c>
      <c r="B241" s="463"/>
      <c r="C241" s="463"/>
      <c r="D241" s="463"/>
      <c r="E241" s="463"/>
      <c r="F241" s="463"/>
      <c r="G241" s="463"/>
      <c r="H241" s="121"/>
    </row>
    <row r="242" spans="1:8" x14ac:dyDescent="0.25">
      <c r="A242" s="121"/>
      <c r="B242" s="121"/>
      <c r="C242" s="121"/>
      <c r="D242" s="121"/>
      <c r="E242" s="122"/>
      <c r="F242" s="121"/>
      <c r="G242" s="121"/>
      <c r="H242" s="121"/>
    </row>
    <row r="243" spans="1:8" ht="46.5" customHeight="1" x14ac:dyDescent="0.25">
      <c r="A243" s="123" t="s">
        <v>154</v>
      </c>
      <c r="B243" s="124" t="s">
        <v>155</v>
      </c>
      <c r="C243" s="125" t="s">
        <v>175</v>
      </c>
      <c r="D243" s="125" t="s">
        <v>176</v>
      </c>
      <c r="E243" s="387" t="s">
        <v>182</v>
      </c>
      <c r="F243" s="387" t="s">
        <v>183</v>
      </c>
      <c r="G243" s="387" t="s">
        <v>184</v>
      </c>
    </row>
    <row r="244" spans="1:8" s="78" customFormat="1" x14ac:dyDescent="0.25">
      <c r="A244" s="126">
        <v>1</v>
      </c>
      <c r="B244" s="127" t="s">
        <v>156</v>
      </c>
      <c r="C244" s="158"/>
      <c r="D244" s="159"/>
      <c r="E244" s="160"/>
      <c r="F244" s="161"/>
      <c r="G244" s="162"/>
    </row>
    <row r="245" spans="1:8" x14ac:dyDescent="0.25">
      <c r="A245" s="128"/>
      <c r="B245" s="129" t="s">
        <v>157</v>
      </c>
      <c r="C245" s="165" t="e">
        <f>SUM('RAČUN PRIHODA I RASHODA'!#REF!)</f>
        <v>#REF!</v>
      </c>
      <c r="D245" s="166" t="e">
        <f>SUM('RAČUN PRIHODA I RASHODA'!#REF!)</f>
        <v>#REF!</v>
      </c>
      <c r="E245" s="166">
        <f>SUM('RAČUN PRIHODA I RASHODA'!E30)</f>
        <v>374506.42</v>
      </c>
      <c r="F245" s="166">
        <f>SUM('RAČUN PRIHODA I RASHODA'!F30)</f>
        <v>409138.65</v>
      </c>
      <c r="G245" s="167">
        <f>SUM('RAČUN PRIHODA I RASHODA'!G30)</f>
        <v>393666.37000000005</v>
      </c>
    </row>
    <row r="246" spans="1:8" x14ac:dyDescent="0.25">
      <c r="A246" s="130"/>
      <c r="B246" s="131" t="s">
        <v>158</v>
      </c>
      <c r="C246" s="145" t="e">
        <f>SUM('RAČUN PRIHODA I RASHODA'!#REF!,'RAČUN PRIHODA I RASHODA'!#REF!,'RAČUN PRIHODA I RASHODA'!#REF!)</f>
        <v>#REF!</v>
      </c>
      <c r="D246" s="146" t="e">
        <f>SUM('RAČUN PRIHODA I RASHODA'!#REF!,'RAČUN PRIHODA I RASHODA'!#REF!,'RAČUN PRIHODA I RASHODA'!#REF!)</f>
        <v>#REF!</v>
      </c>
      <c r="E246" s="146">
        <f>'RAČUN PRIHODA I RASHODA'!E84+'RAČUN PRIHODA I RASHODA'!E135</f>
        <v>374506.44</v>
      </c>
      <c r="F246" s="146">
        <f>'RAČUN PRIHODA I RASHODA'!F84+'RAČUN PRIHODA I RASHODA'!F135</f>
        <v>409138.65</v>
      </c>
      <c r="G246" s="408">
        <f>'RAČUN PRIHODA I RASHODA'!G84+'RAČUN PRIHODA I RASHODA'!G135</f>
        <v>393666.37000000005</v>
      </c>
    </row>
    <row r="247" spans="1:8" s="47" customFormat="1" x14ac:dyDescent="0.25">
      <c r="A247" s="458" t="s">
        <v>159</v>
      </c>
      <c r="B247" s="459"/>
      <c r="C247" s="136" t="e">
        <f t="shared" ref="C247:D247" si="24">SUM(C245-C246-C281)</f>
        <v>#REF!</v>
      </c>
      <c r="D247" s="136" t="e">
        <f t="shared" si="24"/>
        <v>#REF!</v>
      </c>
      <c r="E247" s="136">
        <f>SUM(E245-E246-E281)</f>
        <v>-2.0000000018626451E-2</v>
      </c>
      <c r="F247" s="136">
        <f>SUM(F245-F246-F281)</f>
        <v>0</v>
      </c>
      <c r="G247" s="137">
        <f>SUM(G245-G246-G281)</f>
        <v>0</v>
      </c>
    </row>
    <row r="248" spans="1:8" s="78" customFormat="1" x14ac:dyDescent="0.25">
      <c r="A248" s="126" t="s">
        <v>160</v>
      </c>
      <c r="B248" s="180" t="s">
        <v>53</v>
      </c>
      <c r="C248" s="176"/>
      <c r="D248" s="168"/>
      <c r="E248" s="168"/>
      <c r="F248" s="138"/>
      <c r="G248" s="139"/>
    </row>
    <row r="249" spans="1:8" x14ac:dyDescent="0.25">
      <c r="A249" s="128"/>
      <c r="B249" s="179" t="s">
        <v>157</v>
      </c>
      <c r="C249" s="174" t="e">
        <f>SUM('RAČUN PRIHODA I RASHODA'!#REF!)</f>
        <v>#REF!</v>
      </c>
      <c r="D249" s="133" t="e">
        <f>SUM('RAČUN PRIHODA I RASHODA'!#REF!)</f>
        <v>#REF!</v>
      </c>
      <c r="E249" s="133">
        <f>SUM('RAČUN PRIHODA I RASHODA'!E25)</f>
        <v>7996.2199999999993</v>
      </c>
      <c r="F249" s="133">
        <f>SUM('RAČUN PRIHODA I RASHODA'!F25)</f>
        <v>4160</v>
      </c>
      <c r="G249" s="134">
        <f>SUM('RAČUN PRIHODA I RASHODA'!G25)</f>
        <v>6255.8</v>
      </c>
    </row>
    <row r="250" spans="1:8" x14ac:dyDescent="0.25">
      <c r="A250" s="130"/>
      <c r="B250" s="181" t="s">
        <v>158</v>
      </c>
      <c r="C250" s="172" t="e">
        <f>SUM('RAČUN PRIHODA I RASHODA'!#REF!,'RAČUN PRIHODA I RASHODA'!#REF!,'RAČUN PRIHODA I RASHODA'!#REF!,'RAČUN PRIHODA I RASHODA'!#REF!,'RAČUN PRIHODA I RASHODA'!#REF!)</f>
        <v>#REF!</v>
      </c>
      <c r="D250" s="169" t="e">
        <f>SUM('RAČUN PRIHODA I RASHODA'!#REF!,'RAČUN PRIHODA I RASHODA'!#REF!,'RAČUN PRIHODA I RASHODA'!#REF!,'RAČUN PRIHODA I RASHODA'!#REF!,'RAČUN PRIHODA I RASHODA'!#REF!)</f>
        <v>#REF!</v>
      </c>
      <c r="E250" s="169">
        <f>'RAČUN PRIHODA I RASHODA'!E96</f>
        <v>82.48</v>
      </c>
      <c r="F250" s="169">
        <f>'RAČUN PRIHODA I RASHODA'!F96</f>
        <v>5749.65</v>
      </c>
      <c r="G250" s="169">
        <f>'RAČUN PRIHODA I RASHODA'!G96</f>
        <v>2843.1000000000004</v>
      </c>
    </row>
    <row r="251" spans="1:8" x14ac:dyDescent="0.25">
      <c r="A251" s="458" t="s">
        <v>163</v>
      </c>
      <c r="B251" s="459"/>
      <c r="C251" s="135" t="e">
        <f>SUM(C249-C250)</f>
        <v>#REF!</v>
      </c>
      <c r="D251" s="136" t="e">
        <f>SUM(D249-D250)</f>
        <v>#REF!</v>
      </c>
      <c r="E251" s="136">
        <v>0</v>
      </c>
      <c r="F251" s="136">
        <f>SUM(F249-F250)</f>
        <v>-1589.6499999999996</v>
      </c>
      <c r="G251" s="136">
        <f>SUM(G249-G250)</f>
        <v>3412.7</v>
      </c>
    </row>
    <row r="252" spans="1:8" s="78" customFormat="1" x14ac:dyDescent="0.25">
      <c r="A252" s="126" t="s">
        <v>162</v>
      </c>
      <c r="B252" s="180" t="s">
        <v>33</v>
      </c>
      <c r="C252" s="175"/>
      <c r="D252" s="170"/>
      <c r="E252" s="170"/>
      <c r="F252" s="140"/>
      <c r="G252" s="141"/>
    </row>
    <row r="253" spans="1:8" x14ac:dyDescent="0.25">
      <c r="A253" s="128"/>
      <c r="B253" s="179" t="s">
        <v>157</v>
      </c>
      <c r="C253" s="174" t="e">
        <f>SUM('RAČUN PRIHODA I RASHODA'!#REF!)</f>
        <v>#REF!</v>
      </c>
      <c r="D253" s="133" t="e">
        <f>SUM('RAČUN PRIHODA I RASHODA'!#REF!)</f>
        <v>#REF!</v>
      </c>
      <c r="E253" s="133">
        <f>SUM('RAČUN PRIHODA I RASHODA'!E15)</f>
        <v>3172.14</v>
      </c>
      <c r="F253" s="133">
        <f>SUM('RAČUN PRIHODA I RASHODA'!F15)</f>
        <v>2654.46</v>
      </c>
      <c r="G253" s="167">
        <f>SUM('RAČUN PRIHODA I RASHODA'!G15)</f>
        <v>4131</v>
      </c>
    </row>
    <row r="254" spans="1:8" x14ac:dyDescent="0.25">
      <c r="A254" s="130"/>
      <c r="B254" s="181" t="s">
        <v>158</v>
      </c>
      <c r="C254" s="172" t="e">
        <f>SUM('RAČUN PRIHODA I RASHODA'!#REF!,'RAČUN PRIHODA I RASHODA'!#REF!,'RAČUN PRIHODA I RASHODA'!#REF!,'RAČUN PRIHODA I RASHODA'!#REF!)</f>
        <v>#REF!</v>
      </c>
      <c r="D254" s="169" t="e">
        <f>SUM('RAČUN PRIHODA I RASHODA'!#REF!,'RAČUN PRIHODA I RASHODA'!#REF!,'RAČUN PRIHODA I RASHODA'!#REF!,'RAČUN PRIHODA I RASHODA'!#REF!)</f>
        <v>#REF!</v>
      </c>
      <c r="E254" s="169">
        <f>'RAČUN PRIHODA I RASHODA'!E105+'RAČUN PRIHODA I RASHODA'!E143</f>
        <v>2050.2800000000002</v>
      </c>
      <c r="F254" s="169">
        <f>'RAČUN PRIHODA I RASHODA'!F105+'RAČUN PRIHODA I RASHODA'!F143</f>
        <v>3543.63</v>
      </c>
      <c r="G254" s="408">
        <f>'RAČUN PRIHODA I RASHODA'!G105+'RAČUN PRIHODA I RASHODA'!G143</f>
        <v>843.63</v>
      </c>
    </row>
    <row r="255" spans="1:8" x14ac:dyDescent="0.25">
      <c r="A255" s="458" t="s">
        <v>163</v>
      </c>
      <c r="B255" s="459"/>
      <c r="C255" s="135" t="e">
        <f>SUM(C253-C254)</f>
        <v>#REF!</v>
      </c>
      <c r="D255" s="136" t="e">
        <f>SUM(D253-D254)</f>
        <v>#REF!</v>
      </c>
      <c r="E255" s="136">
        <v>0</v>
      </c>
      <c r="F255" s="136">
        <f>SUM(F253-F254)</f>
        <v>-889.17000000000007</v>
      </c>
      <c r="G255" s="136">
        <f>SUM(G253-G254)</f>
        <v>3287.37</v>
      </c>
    </row>
    <row r="256" spans="1:8" s="78" customFormat="1" x14ac:dyDescent="0.25">
      <c r="A256" s="126" t="s">
        <v>164</v>
      </c>
      <c r="B256" s="180" t="s">
        <v>31</v>
      </c>
      <c r="C256" s="175"/>
      <c r="D256" s="170"/>
      <c r="E256" s="170"/>
      <c r="F256" s="140"/>
      <c r="G256" s="141"/>
    </row>
    <row r="257" spans="1:7" x14ac:dyDescent="0.25">
      <c r="A257" s="128"/>
      <c r="B257" s="179" t="s">
        <v>157</v>
      </c>
      <c r="C257" s="174" t="e">
        <f>SUM('RAČUN PRIHODA I RASHODA'!#REF!)</f>
        <v>#REF!</v>
      </c>
      <c r="D257" s="133" t="e">
        <f>SUM('RAČUN PRIHODA I RASHODA'!#REF!)</f>
        <v>#REF!</v>
      </c>
      <c r="E257" s="133">
        <f>SUM('RAČUN PRIHODA I RASHODA'!E6)</f>
        <v>13238.640000000001</v>
      </c>
      <c r="F257" s="133">
        <f>SUM('RAČUN PRIHODA I RASHODA'!F6)</f>
        <v>0</v>
      </c>
      <c r="G257" s="167">
        <f>SUM('RAČUN PRIHODA I RASHODA'!G6)</f>
        <v>15161.16</v>
      </c>
    </row>
    <row r="258" spans="1:7" x14ac:dyDescent="0.25">
      <c r="A258" s="130"/>
      <c r="B258" s="181" t="s">
        <v>158</v>
      </c>
      <c r="C258" s="172" t="e">
        <f>SUM('RAČUN PRIHODA I RASHODA'!#REF!,'RAČUN PRIHODA I RASHODA'!#REF!,'RAČUN PRIHODA I RASHODA'!#REF!,'RAČUN PRIHODA I RASHODA'!#REF!)</f>
        <v>#REF!</v>
      </c>
      <c r="D258" s="169" t="e">
        <f>SUM('RAČUN PRIHODA I RASHODA'!#REF!,'RAČUN PRIHODA I RASHODA'!#REF!,'RAČUN PRIHODA I RASHODA'!#REF!,'RAČUN PRIHODA I RASHODA'!#REF!)</f>
        <v>#REF!</v>
      </c>
      <c r="E258" s="169">
        <f>'RAČUN PRIHODA I RASHODA'!E120</f>
        <v>2291.58</v>
      </c>
      <c r="F258" s="169">
        <f>'RAČUN PRIHODA I RASHODA'!F120</f>
        <v>11395.119999999999</v>
      </c>
      <c r="G258" s="408">
        <f>'RAČUN PRIHODA I RASHODA'!G120</f>
        <v>11537.749999999998</v>
      </c>
    </row>
    <row r="259" spans="1:7" x14ac:dyDescent="0.25">
      <c r="A259" s="458" t="s">
        <v>163</v>
      </c>
      <c r="B259" s="459"/>
      <c r="C259" s="142" t="e">
        <f>SUM(C257-C258)</f>
        <v>#REF!</v>
      </c>
      <c r="D259" s="143" t="e">
        <f>SUM(D257-D258)</f>
        <v>#REF!</v>
      </c>
      <c r="E259" s="143">
        <v>0</v>
      </c>
      <c r="F259" s="143">
        <f>SUM(F257-F258)</f>
        <v>-11395.119999999999</v>
      </c>
      <c r="G259" s="143">
        <f>SUM(G257-G258)</f>
        <v>3623.4100000000017</v>
      </c>
    </row>
    <row r="260" spans="1:7" s="78" customFormat="1" x14ac:dyDescent="0.25">
      <c r="A260" s="126" t="s">
        <v>165</v>
      </c>
      <c r="B260" s="180" t="s">
        <v>37</v>
      </c>
      <c r="C260" s="175"/>
      <c r="D260" s="170"/>
      <c r="E260" s="170"/>
      <c r="F260" s="140"/>
      <c r="G260" s="141"/>
    </row>
    <row r="261" spans="1:7" x14ac:dyDescent="0.25">
      <c r="A261" s="128"/>
      <c r="B261" s="179" t="s">
        <v>157</v>
      </c>
      <c r="C261" s="174" t="e">
        <f>SUM('RAČUN PRIHODA I RASHODA'!#REF!)</f>
        <v>#REF!</v>
      </c>
      <c r="D261" s="133" t="e">
        <f>SUM('RAČUN PRIHODA I RASHODA'!#REF!)</f>
        <v>#REF!</v>
      </c>
      <c r="E261" s="133">
        <f>SUM('RAČUN PRIHODA I RASHODA'!E29)</f>
        <v>663.62</v>
      </c>
      <c r="F261" s="133">
        <f>SUM('RAČUN PRIHODA I RASHODA'!F29)</f>
        <v>0</v>
      </c>
      <c r="G261" s="167">
        <f>SUM('RAČUN PRIHODA I RASHODA'!G29)</f>
        <v>0</v>
      </c>
    </row>
    <row r="262" spans="1:7" x14ac:dyDescent="0.25">
      <c r="A262" s="130"/>
      <c r="B262" s="181" t="s">
        <v>158</v>
      </c>
      <c r="C262" s="172" t="e">
        <f>SUM('RAČUN PRIHODA I RASHODA'!#REF!,'RAČUN PRIHODA I RASHODA'!#REF!)</f>
        <v>#REF!</v>
      </c>
      <c r="D262" s="169" t="e">
        <f>SUM('RAČUN PRIHODA I RASHODA'!#REF!,'RAČUN PRIHODA I RASHODA'!#REF!)</f>
        <v>#REF!</v>
      </c>
      <c r="E262" s="169">
        <f>'RAČUN PRIHODA I RASHODA'!E125</f>
        <v>663.6</v>
      </c>
      <c r="F262" s="169">
        <f>'RAČUN PRIHODA I RASHODA'!F125</f>
        <v>0</v>
      </c>
      <c r="G262" s="408">
        <f>'RAČUN PRIHODA I RASHODA'!G125</f>
        <v>0</v>
      </c>
    </row>
    <row r="263" spans="1:7" x14ac:dyDescent="0.25">
      <c r="A263" s="458" t="s">
        <v>166</v>
      </c>
      <c r="B263" s="459"/>
      <c r="C263" s="142" t="e">
        <f>SUM(C261-C262)</f>
        <v>#REF!</v>
      </c>
      <c r="D263" s="143" t="e">
        <f>SUM(D261-D262)</f>
        <v>#REF!</v>
      </c>
      <c r="E263" s="143">
        <f>SUM(E261-E262)</f>
        <v>1.999999999998181E-2</v>
      </c>
      <c r="F263" s="143">
        <f>SUM(F261-F262)</f>
        <v>0</v>
      </c>
      <c r="G263" s="144">
        <f>SUM(G261-G262)</f>
        <v>0</v>
      </c>
    </row>
    <row r="264" spans="1:7" ht="31.15" customHeight="1" x14ac:dyDescent="0.25">
      <c r="A264" s="126" t="s">
        <v>167</v>
      </c>
      <c r="B264" s="178" t="s">
        <v>22</v>
      </c>
      <c r="C264" s="173"/>
      <c r="D264" s="143"/>
      <c r="E264" s="143"/>
      <c r="F264" s="143"/>
      <c r="G264" s="144"/>
    </row>
    <row r="265" spans="1:7" ht="15.6" customHeight="1" x14ac:dyDescent="0.25">
      <c r="A265" s="128"/>
      <c r="B265" s="179" t="s">
        <v>157</v>
      </c>
      <c r="C265" s="174" t="e">
        <f>SUM('RAČUN PRIHODA I RASHODA'!#REF!)</f>
        <v>#REF!</v>
      </c>
      <c r="D265" s="133" t="e">
        <f>SUM('RAČUN PRIHODA I RASHODA'!#REF!)</f>
        <v>#REF!</v>
      </c>
      <c r="E265" s="133">
        <v>0</v>
      </c>
      <c r="F265" s="133">
        <v>0</v>
      </c>
      <c r="G265" s="134">
        <v>0</v>
      </c>
    </row>
    <row r="266" spans="1:7" ht="15.6" customHeight="1" x14ac:dyDescent="0.25">
      <c r="A266" s="132"/>
      <c r="B266" s="177" t="s">
        <v>158</v>
      </c>
      <c r="C266" s="172" t="e">
        <f>SUM('RAČUN PRIHODA I RASHODA'!#REF!)</f>
        <v>#REF!</v>
      </c>
      <c r="D266" s="169" t="e">
        <f>SUM('RAČUN PRIHODA I RASHODA'!#REF!)</f>
        <v>#REF!</v>
      </c>
      <c r="E266" s="169">
        <v>0</v>
      </c>
      <c r="F266" s="169">
        <v>0</v>
      </c>
      <c r="G266" s="171">
        <v>0</v>
      </c>
    </row>
    <row r="267" spans="1:7" x14ac:dyDescent="0.25">
      <c r="A267" s="458" t="s">
        <v>163</v>
      </c>
      <c r="B267" s="459"/>
      <c r="C267" s="142" t="e">
        <f>SUM(C265-C266)</f>
        <v>#REF!</v>
      </c>
      <c r="D267" s="143" t="e">
        <f>SUM(D265-D266)</f>
        <v>#REF!</v>
      </c>
      <c r="E267" s="143">
        <f>SUM(E265-E266)</f>
        <v>0</v>
      </c>
      <c r="F267" s="143">
        <f>SUM(F265-F266)</f>
        <v>0</v>
      </c>
      <c r="G267" s="144">
        <f>SUM(G265-G266)</f>
        <v>0</v>
      </c>
    </row>
    <row r="268" spans="1:7" x14ac:dyDescent="0.25">
      <c r="A268" s="126" t="s">
        <v>168</v>
      </c>
      <c r="B268" s="178" t="s">
        <v>169</v>
      </c>
      <c r="C268" s="173"/>
      <c r="D268" s="143"/>
      <c r="E268" s="143"/>
      <c r="F268" s="143"/>
      <c r="G268" s="144"/>
    </row>
    <row r="269" spans="1:7" x14ac:dyDescent="0.25">
      <c r="A269" s="128"/>
      <c r="B269" s="179" t="s">
        <v>170</v>
      </c>
      <c r="C269" s="174" t="e">
        <f>SUM('Račun financiranja'!#REF!)</f>
        <v>#REF!</v>
      </c>
      <c r="D269" s="174" t="e">
        <f>SUM('Račun financiranja'!#REF!)</f>
        <v>#REF!</v>
      </c>
      <c r="E269" s="174">
        <f>SUM('Račun financiranja'!G11)</f>
        <v>0</v>
      </c>
      <c r="F269" s="174">
        <v>0</v>
      </c>
      <c r="G269" s="167">
        <v>0</v>
      </c>
    </row>
    <row r="270" spans="1:7" x14ac:dyDescent="0.25">
      <c r="A270" s="132"/>
      <c r="B270" s="177" t="s">
        <v>171</v>
      </c>
      <c r="C270" s="169" t="e">
        <f>SUM('Račun financiranja'!#REF!)</f>
        <v>#REF!</v>
      </c>
      <c r="D270" s="169" t="e">
        <f>SUM('Račun financiranja'!#REF!)</f>
        <v>#REF!</v>
      </c>
      <c r="E270" s="169">
        <f>SUM('Račun financiranja'!G12)</f>
        <v>0</v>
      </c>
      <c r="F270" s="169">
        <v>0</v>
      </c>
      <c r="G270" s="408">
        <v>0</v>
      </c>
    </row>
    <row r="271" spans="1:7" x14ac:dyDescent="0.25">
      <c r="A271" s="458" t="s">
        <v>163</v>
      </c>
      <c r="B271" s="460"/>
      <c r="C271" s="142" t="e">
        <f>SUM(C269-C270)</f>
        <v>#REF!</v>
      </c>
      <c r="D271" s="143" t="e">
        <f>SUM(D269-D270)</f>
        <v>#REF!</v>
      </c>
      <c r="E271" s="143">
        <f>SUM(E269-E270)</f>
        <v>0</v>
      </c>
      <c r="F271" s="143">
        <f>SUM(F269-F270)</f>
        <v>0</v>
      </c>
      <c r="G271" s="144">
        <f>SUM(G269-G270)</f>
        <v>0</v>
      </c>
    </row>
    <row r="272" spans="1:7" x14ac:dyDescent="0.25">
      <c r="A272" s="456"/>
      <c r="B272" s="457"/>
      <c r="C272" s="182"/>
      <c r="D272" s="163"/>
      <c r="E272" s="163"/>
      <c r="F272" s="163"/>
      <c r="G272" s="164"/>
    </row>
    <row r="273" spans="1:7" x14ac:dyDescent="0.25">
      <c r="A273" s="448" t="s">
        <v>24</v>
      </c>
      <c r="B273" s="449"/>
      <c r="C273" s="183" t="e">
        <f>SUM(C245,C249,C253,C257,C261,C265,C269)</f>
        <v>#REF!</v>
      </c>
      <c r="D273" s="147" t="e">
        <f>SUM(D245,D249,D253,D257,D261,D265,D269)</f>
        <v>#REF!</v>
      </c>
      <c r="E273" s="147">
        <f>SUM(E245,E249,E253,E257,E261)</f>
        <v>399577.04</v>
      </c>
      <c r="F273" s="147">
        <f t="shared" ref="F273" si="25">SUM(F245,F249,F253,F257,F261)</f>
        <v>415953.11000000004</v>
      </c>
      <c r="G273" s="148">
        <f>SUM(G245,G249,G253,G257,G261)</f>
        <v>419214.33</v>
      </c>
    </row>
    <row r="274" spans="1:7" x14ac:dyDescent="0.25">
      <c r="A274" s="448" t="s">
        <v>25</v>
      </c>
      <c r="B274" s="449"/>
      <c r="C274" s="183" t="e">
        <f>SUM(C246,C250,C254,C258,C262,C266,C270)</f>
        <v>#REF!</v>
      </c>
      <c r="D274" s="147" t="e">
        <f>SUM(D246,D250,D254,D258,D262,D266,D270)</f>
        <v>#REF!</v>
      </c>
      <c r="E274" s="147">
        <f>SUM(E246,E250,E254,E258,E262)</f>
        <v>379594.38</v>
      </c>
      <c r="F274" s="147">
        <f t="shared" ref="F274" si="26">SUM(F246,F250,F254,F258,F262)</f>
        <v>429827.05000000005</v>
      </c>
      <c r="G274" s="148">
        <f>SUM(G246,G250,G254,G258,G262)</f>
        <v>408890.85000000003</v>
      </c>
    </row>
    <row r="275" spans="1:7" x14ac:dyDescent="0.25">
      <c r="A275" s="446"/>
      <c r="B275" s="450"/>
      <c r="C275" s="184"/>
      <c r="D275" s="149"/>
      <c r="E275" s="150"/>
      <c r="F275" s="149"/>
      <c r="G275" s="151"/>
    </row>
    <row r="276" spans="1:7" x14ac:dyDescent="0.25">
      <c r="A276" s="451"/>
      <c r="B276" s="452"/>
      <c r="C276" s="185"/>
      <c r="D276" s="152"/>
      <c r="E276" s="152"/>
      <c r="F276" s="152"/>
      <c r="G276" s="153"/>
    </row>
    <row r="277" spans="1:7" x14ac:dyDescent="0.25">
      <c r="A277" s="451" t="s">
        <v>161</v>
      </c>
      <c r="B277" s="452"/>
      <c r="C277" s="187" t="e">
        <f>-SUM(C251,C255)</f>
        <v>#REF!</v>
      </c>
      <c r="D277" s="152" t="e">
        <f>-SUM(D251,D255)</f>
        <v>#REF!</v>
      </c>
      <c r="E277" s="152">
        <v>0</v>
      </c>
      <c r="F277" s="152">
        <f>-SUM(F251,F255,F259)</f>
        <v>13873.939999999999</v>
      </c>
      <c r="G277" s="407">
        <v>0</v>
      </c>
    </row>
    <row r="278" spans="1:7" x14ac:dyDescent="0.25">
      <c r="A278" s="448" t="s">
        <v>172</v>
      </c>
      <c r="B278" s="453"/>
      <c r="C278" s="186" t="e">
        <f>-SUM(C247)</f>
        <v>#REF!</v>
      </c>
      <c r="D278" s="147" t="e">
        <f>-SUM(D247)</f>
        <v>#REF!</v>
      </c>
      <c r="E278" s="147">
        <f>-SUM(E247)</f>
        <v>2.0000000018626451E-2</v>
      </c>
      <c r="F278" s="147">
        <f>SUM(F247)</f>
        <v>0</v>
      </c>
      <c r="G278" s="148">
        <f>SUM(G247)</f>
        <v>0</v>
      </c>
    </row>
    <row r="279" spans="1:7" x14ac:dyDescent="0.25">
      <c r="A279" s="454"/>
      <c r="B279" s="455"/>
      <c r="C279" s="188"/>
      <c r="D279" s="154"/>
      <c r="E279" s="155"/>
      <c r="F279" s="154"/>
      <c r="G279" s="156"/>
    </row>
    <row r="280" spans="1:7" x14ac:dyDescent="0.25">
      <c r="A280" s="456" t="s">
        <v>173</v>
      </c>
      <c r="B280" s="457"/>
      <c r="C280" s="81" t="e">
        <f t="shared" ref="C280:E281" si="27">SUM(C269)</f>
        <v>#REF!</v>
      </c>
      <c r="D280" s="82" t="e">
        <f t="shared" si="27"/>
        <v>#REF!</v>
      </c>
      <c r="E280" s="82">
        <f>SUM(E269)</f>
        <v>0</v>
      </c>
      <c r="F280" s="82">
        <f t="shared" ref="F280:G281" si="28">SUM(F269)</f>
        <v>0</v>
      </c>
      <c r="G280" s="191">
        <f t="shared" si="28"/>
        <v>0</v>
      </c>
    </row>
    <row r="281" spans="1:7" x14ac:dyDescent="0.25">
      <c r="A281" s="446" t="s">
        <v>174</v>
      </c>
      <c r="B281" s="447"/>
      <c r="C281" s="192" t="e">
        <f t="shared" si="27"/>
        <v>#REF!</v>
      </c>
      <c r="D281" s="193" t="e">
        <f t="shared" si="27"/>
        <v>#REF!</v>
      </c>
      <c r="E281" s="193">
        <f t="shared" si="27"/>
        <v>0</v>
      </c>
      <c r="F281" s="193">
        <f t="shared" si="28"/>
        <v>0</v>
      </c>
      <c r="G281" s="194">
        <f t="shared" si="28"/>
        <v>0</v>
      </c>
    </row>
    <row r="282" spans="1:7" x14ac:dyDescent="0.25">
      <c r="E282" s="114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2024-03-28T13:30:44Z</cp:lastPrinted>
  <dcterms:created xsi:type="dcterms:W3CDTF">2022-08-26T07:26:16Z</dcterms:created>
  <dcterms:modified xsi:type="dcterms:W3CDTF">2024-03-28T13:32:40Z</dcterms:modified>
</cp:coreProperties>
</file>